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780" yWindow="1095" windowWidth="27180" windowHeight="16380"/>
  </bookViews>
  <sheets>
    <sheet name="Table_S6_Cytosolic AAtRS" sheetId="1" r:id="rId1"/>
    <sheet name="Abbreviations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03" i="1" l="1"/>
  <c r="AG403" i="1"/>
  <c r="AI401" i="1"/>
  <c r="AI403" i="1"/>
  <c r="AH401" i="1"/>
  <c r="AG401" i="1"/>
  <c r="AF401" i="1"/>
  <c r="AF403" i="1"/>
  <c r="AE401" i="1"/>
  <c r="AE403" i="1"/>
  <c r="H399" i="1"/>
  <c r="Y399" i="1"/>
  <c r="F399" i="1"/>
  <c r="W399" i="1"/>
  <c r="H398" i="1"/>
  <c r="Y398" i="1"/>
  <c r="F398" i="1"/>
  <c r="W398" i="1"/>
  <c r="H397" i="1"/>
  <c r="Y397" i="1"/>
  <c r="F397" i="1"/>
  <c r="W397" i="1"/>
  <c r="H396" i="1"/>
  <c r="Y396" i="1"/>
  <c r="F396" i="1"/>
  <c r="W396" i="1"/>
  <c r="X395" i="1"/>
  <c r="W395" i="1"/>
  <c r="Z395" i="1"/>
  <c r="T395" i="1"/>
  <c r="AC395" i="1"/>
  <c r="S395" i="1"/>
  <c r="AB395" i="1"/>
  <c r="L395" i="1"/>
  <c r="Y395" i="1"/>
  <c r="AC394" i="1"/>
  <c r="Y394" i="1"/>
  <c r="X394" i="1"/>
  <c r="S394" i="1"/>
  <c r="AB394" i="1"/>
  <c r="J394" i="1"/>
  <c r="W394" i="1"/>
  <c r="X393" i="1"/>
  <c r="T393" i="1"/>
  <c r="AC393" i="1"/>
  <c r="S393" i="1"/>
  <c r="AB393" i="1"/>
  <c r="L393" i="1"/>
  <c r="Y393" i="1"/>
  <c r="J393" i="1"/>
  <c r="W393" i="1"/>
  <c r="AC392" i="1"/>
  <c r="AB392" i="1"/>
  <c r="AD392" i="1"/>
  <c r="Y392" i="1"/>
  <c r="W392" i="1"/>
  <c r="L392" i="1"/>
  <c r="K392" i="1"/>
  <c r="X392" i="1"/>
  <c r="W391" i="1"/>
  <c r="T391" i="1"/>
  <c r="AC391" i="1"/>
  <c r="S391" i="1"/>
  <c r="AB391" i="1"/>
  <c r="R391" i="1"/>
  <c r="AA391" i="1"/>
  <c r="L391" i="1"/>
  <c r="Y391" i="1"/>
  <c r="K391" i="1"/>
  <c r="X391" i="1"/>
  <c r="AB390" i="1"/>
  <c r="AA390" i="1"/>
  <c r="W390" i="1"/>
  <c r="T390" i="1"/>
  <c r="AC390" i="1"/>
  <c r="R390" i="1"/>
  <c r="L390" i="1"/>
  <c r="Y390" i="1"/>
  <c r="K390" i="1"/>
  <c r="X390" i="1"/>
  <c r="Y389" i="1"/>
  <c r="T389" i="1"/>
  <c r="AC389" i="1"/>
  <c r="S389" i="1"/>
  <c r="AB389" i="1"/>
  <c r="R389" i="1"/>
  <c r="AA389" i="1"/>
  <c r="K389" i="1"/>
  <c r="X389" i="1"/>
  <c r="J389" i="1"/>
  <c r="W389" i="1"/>
  <c r="W388" i="1"/>
  <c r="T388" i="1"/>
  <c r="AC388" i="1"/>
  <c r="S388" i="1"/>
  <c r="AB388" i="1"/>
  <c r="R388" i="1"/>
  <c r="AA388" i="1"/>
  <c r="L388" i="1"/>
  <c r="Y388" i="1"/>
  <c r="K388" i="1"/>
  <c r="X388" i="1"/>
  <c r="AA384" i="1"/>
  <c r="AD384" i="1"/>
  <c r="X384" i="1"/>
  <c r="Z384" i="1"/>
  <c r="AA383" i="1"/>
  <c r="AD383" i="1"/>
  <c r="X383" i="1"/>
  <c r="Z383" i="1"/>
  <c r="AA382" i="1"/>
  <c r="AD382" i="1"/>
  <c r="X382" i="1"/>
  <c r="Z382" i="1"/>
  <c r="AA381" i="1"/>
  <c r="AD381" i="1"/>
  <c r="X381" i="1"/>
  <c r="Z381" i="1"/>
  <c r="AC380" i="1"/>
  <c r="AB380" i="1"/>
  <c r="Y380" i="1"/>
  <c r="X380" i="1"/>
  <c r="AC379" i="1"/>
  <c r="AB379" i="1"/>
  <c r="Y379" i="1"/>
  <c r="X379" i="1"/>
  <c r="Z379" i="1"/>
  <c r="AC378" i="1"/>
  <c r="AB378" i="1"/>
  <c r="Y378" i="1"/>
  <c r="X378" i="1"/>
  <c r="Z378" i="1"/>
  <c r="AC377" i="1"/>
  <c r="AB377" i="1"/>
  <c r="Y377" i="1"/>
  <c r="X377" i="1"/>
  <c r="Z377" i="1"/>
  <c r="P374" i="1"/>
  <c r="AC374" i="1"/>
  <c r="O374" i="1"/>
  <c r="AB374" i="1"/>
  <c r="N374" i="1"/>
  <c r="AA374" i="1"/>
  <c r="H374" i="1"/>
  <c r="Y374" i="1"/>
  <c r="G374" i="1"/>
  <c r="X374" i="1"/>
  <c r="F374" i="1"/>
  <c r="W374" i="1"/>
  <c r="P373" i="1"/>
  <c r="AC373" i="1"/>
  <c r="O373" i="1"/>
  <c r="AB373" i="1"/>
  <c r="N373" i="1"/>
  <c r="AA373" i="1"/>
  <c r="H373" i="1"/>
  <c r="Y373" i="1"/>
  <c r="G373" i="1"/>
  <c r="X373" i="1"/>
  <c r="F373" i="1"/>
  <c r="W373" i="1"/>
  <c r="P372" i="1"/>
  <c r="AC372" i="1"/>
  <c r="O372" i="1"/>
  <c r="AB372" i="1"/>
  <c r="N372" i="1"/>
  <c r="AA372" i="1"/>
  <c r="H372" i="1"/>
  <c r="Y372" i="1"/>
  <c r="G372" i="1"/>
  <c r="X372" i="1"/>
  <c r="F372" i="1"/>
  <c r="W372" i="1"/>
  <c r="P371" i="1"/>
  <c r="AC371" i="1"/>
  <c r="O371" i="1"/>
  <c r="AB371" i="1"/>
  <c r="N371" i="1"/>
  <c r="AA371" i="1"/>
  <c r="H371" i="1"/>
  <c r="Y371" i="1"/>
  <c r="G371" i="1"/>
  <c r="X371" i="1"/>
  <c r="F371" i="1"/>
  <c r="W371" i="1"/>
  <c r="AC370" i="1"/>
  <c r="AB370" i="1"/>
  <c r="Y370" i="1"/>
  <c r="X370" i="1"/>
  <c r="W370" i="1"/>
  <c r="AC369" i="1"/>
  <c r="AB369" i="1"/>
  <c r="Y369" i="1"/>
  <c r="X369" i="1"/>
  <c r="W369" i="1"/>
  <c r="AC368" i="1"/>
  <c r="AB368" i="1"/>
  <c r="Y368" i="1"/>
  <c r="X368" i="1"/>
  <c r="W368" i="1"/>
  <c r="AC367" i="1"/>
  <c r="AB367" i="1"/>
  <c r="Y367" i="1"/>
  <c r="X367" i="1"/>
  <c r="W367" i="1"/>
  <c r="Z367" i="1"/>
  <c r="AC366" i="1"/>
  <c r="AA366" i="1"/>
  <c r="Y366" i="1"/>
  <c r="Z366" i="1"/>
  <c r="AC365" i="1"/>
  <c r="AA365" i="1"/>
  <c r="Y365" i="1"/>
  <c r="Z365" i="1"/>
  <c r="AC364" i="1"/>
  <c r="AA364" i="1"/>
  <c r="Y364" i="1"/>
  <c r="Z364" i="1"/>
  <c r="AC363" i="1"/>
  <c r="AA363" i="1"/>
  <c r="Y363" i="1"/>
  <c r="Z363" i="1"/>
  <c r="AC361" i="1"/>
  <c r="Y361" i="1"/>
  <c r="Z361" i="1"/>
  <c r="S361" i="1"/>
  <c r="AB361" i="1"/>
  <c r="AB360" i="1"/>
  <c r="Y360" i="1"/>
  <c r="Z360" i="1"/>
  <c r="T360" i="1"/>
  <c r="AC360" i="1"/>
  <c r="AC359" i="1"/>
  <c r="AB359" i="1"/>
  <c r="AD359" i="1"/>
  <c r="Y359" i="1"/>
  <c r="Z359" i="1"/>
  <c r="AC358" i="1"/>
  <c r="AB358" i="1"/>
  <c r="AD358" i="1"/>
  <c r="L358" i="1"/>
  <c r="Y358" i="1"/>
  <c r="Z358" i="1"/>
  <c r="P357" i="1"/>
  <c r="AC357" i="1"/>
  <c r="O357" i="1"/>
  <c r="AB357" i="1"/>
  <c r="P356" i="1"/>
  <c r="AC356" i="1"/>
  <c r="O356" i="1"/>
  <c r="AB356" i="1"/>
  <c r="P355" i="1"/>
  <c r="AC355" i="1"/>
  <c r="O355" i="1"/>
  <c r="AB355" i="1"/>
  <c r="P354" i="1"/>
  <c r="AC354" i="1"/>
  <c r="O354" i="1"/>
  <c r="AB354" i="1"/>
  <c r="N353" i="1"/>
  <c r="AA353" i="1"/>
  <c r="AD353" i="1"/>
  <c r="H353" i="1"/>
  <c r="Y353" i="1"/>
  <c r="Z353" i="1"/>
  <c r="N352" i="1"/>
  <c r="AA352" i="1"/>
  <c r="AD352" i="1"/>
  <c r="H352" i="1"/>
  <c r="Y352" i="1"/>
  <c r="Z352" i="1"/>
  <c r="AA351" i="1"/>
  <c r="AD351" i="1"/>
  <c r="N351" i="1"/>
  <c r="H351" i="1"/>
  <c r="Y351" i="1"/>
  <c r="Z351" i="1"/>
  <c r="AD350" i="1"/>
  <c r="Y350" i="1"/>
  <c r="Z350" i="1"/>
  <c r="N350" i="1"/>
  <c r="AA350" i="1"/>
  <c r="H350" i="1"/>
  <c r="H349" i="1"/>
  <c r="Y349" i="1"/>
  <c r="Z349" i="1"/>
  <c r="H348" i="1"/>
  <c r="Y348" i="1"/>
  <c r="Z348" i="1"/>
  <c r="H347" i="1"/>
  <c r="Y347" i="1"/>
  <c r="Z347" i="1"/>
  <c r="H346" i="1"/>
  <c r="Y346" i="1"/>
  <c r="Z346" i="1"/>
  <c r="N345" i="1"/>
  <c r="AA345" i="1"/>
  <c r="AD345" i="1"/>
  <c r="F345" i="1"/>
  <c r="W345" i="1"/>
  <c r="Z345" i="1"/>
  <c r="N344" i="1"/>
  <c r="AA344" i="1"/>
  <c r="AD344" i="1"/>
  <c r="F344" i="1"/>
  <c r="W344" i="1"/>
  <c r="Z344" i="1"/>
  <c r="N343" i="1"/>
  <c r="AA343" i="1"/>
  <c r="AD343" i="1"/>
  <c r="F343" i="1"/>
  <c r="W343" i="1"/>
  <c r="Z343" i="1"/>
  <c r="N342" i="1"/>
  <c r="AA342" i="1"/>
  <c r="AD342" i="1"/>
  <c r="F342" i="1"/>
  <c r="W342" i="1"/>
  <c r="Z342" i="1"/>
  <c r="AC338" i="1"/>
  <c r="AD338" i="1"/>
  <c r="Y338" i="1"/>
  <c r="Z338" i="1"/>
  <c r="AC337" i="1"/>
  <c r="AD337" i="1"/>
  <c r="Y337" i="1"/>
  <c r="Z337" i="1"/>
  <c r="AC336" i="1"/>
  <c r="AD336" i="1"/>
  <c r="Y336" i="1"/>
  <c r="Z336" i="1"/>
  <c r="AC335" i="1"/>
  <c r="AD335" i="1"/>
  <c r="Y335" i="1"/>
  <c r="Z335" i="1"/>
  <c r="O334" i="1"/>
  <c r="AB334" i="1"/>
  <c r="AD334" i="1"/>
  <c r="F334" i="1"/>
  <c r="W334" i="1"/>
  <c r="Z334" i="1"/>
  <c r="W333" i="1"/>
  <c r="Z333" i="1"/>
  <c r="O333" i="1"/>
  <c r="AB333" i="1"/>
  <c r="AD333" i="1"/>
  <c r="F333" i="1"/>
  <c r="O332" i="1"/>
  <c r="AB332" i="1"/>
  <c r="AD332" i="1"/>
  <c r="F332" i="1"/>
  <c r="W332" i="1"/>
  <c r="Z332" i="1"/>
  <c r="O331" i="1"/>
  <c r="AB331" i="1"/>
  <c r="AD331" i="1"/>
  <c r="F331" i="1"/>
  <c r="W331" i="1"/>
  <c r="Z331" i="1"/>
  <c r="AB330" i="1"/>
  <c r="AA330" i="1"/>
  <c r="Y330" i="1"/>
  <c r="W330" i="1"/>
  <c r="AA329" i="1"/>
  <c r="Y329" i="1"/>
  <c r="W329" i="1"/>
  <c r="S329" i="1"/>
  <c r="AB329" i="1"/>
  <c r="L329" i="1"/>
  <c r="AB328" i="1"/>
  <c r="AD328" i="1"/>
  <c r="AA328" i="1"/>
  <c r="Y328" i="1"/>
  <c r="W328" i="1"/>
  <c r="AB327" i="1"/>
  <c r="Y327" i="1"/>
  <c r="R327" i="1"/>
  <c r="AA327" i="1"/>
  <c r="J327" i="1"/>
  <c r="W327" i="1"/>
  <c r="T323" i="1"/>
  <c r="AC323" i="1"/>
  <c r="S323" i="1"/>
  <c r="AB323" i="1"/>
  <c r="R323" i="1"/>
  <c r="AA323" i="1"/>
  <c r="L323" i="1"/>
  <c r="Y323" i="1"/>
  <c r="K323" i="1"/>
  <c r="X323" i="1"/>
  <c r="J323" i="1"/>
  <c r="W323" i="1"/>
  <c r="T322" i="1"/>
  <c r="AC322" i="1"/>
  <c r="S322" i="1"/>
  <c r="AB322" i="1"/>
  <c r="R322" i="1"/>
  <c r="AA322" i="1"/>
  <c r="AD322" i="1"/>
  <c r="L322" i="1"/>
  <c r="Y322" i="1"/>
  <c r="K322" i="1"/>
  <c r="X322" i="1"/>
  <c r="J322" i="1"/>
  <c r="W322" i="1"/>
  <c r="AC321" i="1"/>
  <c r="T321" i="1"/>
  <c r="S321" i="1"/>
  <c r="AB321" i="1"/>
  <c r="R321" i="1"/>
  <c r="AA321" i="1"/>
  <c r="L321" i="1"/>
  <c r="Y321" i="1"/>
  <c r="K321" i="1"/>
  <c r="X321" i="1"/>
  <c r="J321" i="1"/>
  <c r="W321" i="1"/>
  <c r="T320" i="1"/>
  <c r="AC320" i="1"/>
  <c r="S320" i="1"/>
  <c r="AB320" i="1"/>
  <c r="R320" i="1"/>
  <c r="AA320" i="1"/>
  <c r="L320" i="1"/>
  <c r="Y320" i="1"/>
  <c r="K320" i="1"/>
  <c r="X320" i="1"/>
  <c r="J320" i="1"/>
  <c r="W320" i="1"/>
  <c r="P319" i="1"/>
  <c r="AC319" i="1"/>
  <c r="AD319" i="1"/>
  <c r="G319" i="1"/>
  <c r="X319" i="1"/>
  <c r="Z319" i="1"/>
  <c r="P318" i="1"/>
  <c r="AC318" i="1"/>
  <c r="AD318" i="1"/>
  <c r="G318" i="1"/>
  <c r="X318" i="1"/>
  <c r="Z318" i="1"/>
  <c r="P317" i="1"/>
  <c r="AC317" i="1"/>
  <c r="AD317" i="1"/>
  <c r="G317" i="1"/>
  <c r="X317" i="1"/>
  <c r="Z317" i="1"/>
  <c r="P316" i="1"/>
  <c r="AC316" i="1"/>
  <c r="AD316" i="1"/>
  <c r="G316" i="1"/>
  <c r="X316" i="1"/>
  <c r="Z316" i="1"/>
  <c r="P315" i="1"/>
  <c r="AC315" i="1"/>
  <c r="O315" i="1"/>
  <c r="AB315" i="1"/>
  <c r="N315" i="1"/>
  <c r="AA315" i="1"/>
  <c r="H315" i="1"/>
  <c r="Y315" i="1"/>
  <c r="G315" i="1"/>
  <c r="X315" i="1"/>
  <c r="F315" i="1"/>
  <c r="W315" i="1"/>
  <c r="W314" i="1"/>
  <c r="P314" i="1"/>
  <c r="AC314" i="1"/>
  <c r="O314" i="1"/>
  <c r="AB314" i="1"/>
  <c r="N314" i="1"/>
  <c r="AA314" i="1"/>
  <c r="H314" i="1"/>
  <c r="Y314" i="1"/>
  <c r="G314" i="1"/>
  <c r="X314" i="1"/>
  <c r="F314" i="1"/>
  <c r="AC313" i="1"/>
  <c r="P313" i="1"/>
  <c r="O313" i="1"/>
  <c r="AB313" i="1"/>
  <c r="N313" i="1"/>
  <c r="AA313" i="1"/>
  <c r="H313" i="1"/>
  <c r="Y313" i="1"/>
  <c r="G313" i="1"/>
  <c r="X313" i="1"/>
  <c r="F313" i="1"/>
  <c r="W313" i="1"/>
  <c r="P312" i="1"/>
  <c r="AC312" i="1"/>
  <c r="O312" i="1"/>
  <c r="AB312" i="1"/>
  <c r="N312" i="1"/>
  <c r="AA312" i="1"/>
  <c r="H312" i="1"/>
  <c r="Y312" i="1"/>
  <c r="G312" i="1"/>
  <c r="X312" i="1"/>
  <c r="F312" i="1"/>
  <c r="W312" i="1"/>
  <c r="O311" i="1"/>
  <c r="AB311" i="1"/>
  <c r="AD311" i="1"/>
  <c r="O310" i="1"/>
  <c r="AB310" i="1"/>
  <c r="AD310" i="1"/>
  <c r="O309" i="1"/>
  <c r="AB309" i="1"/>
  <c r="AD309" i="1"/>
  <c r="O308" i="1"/>
  <c r="AB308" i="1"/>
  <c r="AD308" i="1"/>
  <c r="T307" i="1"/>
  <c r="AC307" i="1"/>
  <c r="S307" i="1"/>
  <c r="AB307" i="1"/>
  <c r="R307" i="1"/>
  <c r="AA307" i="1"/>
  <c r="L307" i="1"/>
  <c r="Y307" i="1"/>
  <c r="K307" i="1"/>
  <c r="X307" i="1"/>
  <c r="J307" i="1"/>
  <c r="W307" i="1"/>
  <c r="T306" i="1"/>
  <c r="AC306" i="1"/>
  <c r="S306" i="1"/>
  <c r="AB306" i="1"/>
  <c r="R306" i="1"/>
  <c r="AA306" i="1"/>
  <c r="L306" i="1"/>
  <c r="Y306" i="1"/>
  <c r="K306" i="1"/>
  <c r="X306" i="1"/>
  <c r="J306" i="1"/>
  <c r="W306" i="1"/>
  <c r="T305" i="1"/>
  <c r="AC305" i="1"/>
  <c r="S305" i="1"/>
  <c r="AB305" i="1"/>
  <c r="R305" i="1"/>
  <c r="AA305" i="1"/>
  <c r="L305" i="1"/>
  <c r="Y305" i="1"/>
  <c r="K305" i="1"/>
  <c r="X305" i="1"/>
  <c r="J305" i="1"/>
  <c r="W305" i="1"/>
  <c r="T304" i="1"/>
  <c r="AC304" i="1"/>
  <c r="S304" i="1"/>
  <c r="AB304" i="1"/>
  <c r="R304" i="1"/>
  <c r="AA304" i="1"/>
  <c r="L304" i="1"/>
  <c r="Y304" i="1"/>
  <c r="K304" i="1"/>
  <c r="X304" i="1"/>
  <c r="J304" i="1"/>
  <c r="W304" i="1"/>
  <c r="P303" i="1"/>
  <c r="AC303" i="1"/>
  <c r="O303" i="1"/>
  <c r="AB303" i="1"/>
  <c r="N303" i="1"/>
  <c r="AA303" i="1"/>
  <c r="H303" i="1"/>
  <c r="Y303" i="1"/>
  <c r="G303" i="1"/>
  <c r="X303" i="1"/>
  <c r="F303" i="1"/>
  <c r="W303" i="1"/>
  <c r="P302" i="1"/>
  <c r="AC302" i="1"/>
  <c r="O302" i="1"/>
  <c r="AB302" i="1"/>
  <c r="N302" i="1"/>
  <c r="AA302" i="1"/>
  <c r="H302" i="1"/>
  <c r="Y302" i="1"/>
  <c r="G302" i="1"/>
  <c r="X302" i="1"/>
  <c r="F302" i="1"/>
  <c r="W302" i="1"/>
  <c r="P301" i="1"/>
  <c r="AC301" i="1"/>
  <c r="O301" i="1"/>
  <c r="AB301" i="1"/>
  <c r="N301" i="1"/>
  <c r="AA301" i="1"/>
  <c r="H301" i="1"/>
  <c r="Y301" i="1"/>
  <c r="G301" i="1"/>
  <c r="X301" i="1"/>
  <c r="F301" i="1"/>
  <c r="W301" i="1"/>
  <c r="P300" i="1"/>
  <c r="AC300" i="1"/>
  <c r="O300" i="1"/>
  <c r="AB300" i="1"/>
  <c r="N300" i="1"/>
  <c r="AA300" i="1"/>
  <c r="H300" i="1"/>
  <c r="Y300" i="1"/>
  <c r="G300" i="1"/>
  <c r="X300" i="1"/>
  <c r="F300" i="1"/>
  <c r="W300" i="1"/>
  <c r="G299" i="1"/>
  <c r="X299" i="1"/>
  <c r="F299" i="1"/>
  <c r="W299" i="1"/>
  <c r="G298" i="1"/>
  <c r="X298" i="1"/>
  <c r="Z298" i="1"/>
  <c r="F298" i="1"/>
  <c r="W298" i="1"/>
  <c r="G297" i="1"/>
  <c r="X297" i="1"/>
  <c r="F297" i="1"/>
  <c r="W297" i="1"/>
  <c r="W296" i="1"/>
  <c r="G296" i="1"/>
  <c r="X296" i="1"/>
  <c r="F296" i="1"/>
  <c r="AC295" i="1"/>
  <c r="AB295" i="1"/>
  <c r="AA295" i="1"/>
  <c r="AC294" i="1"/>
  <c r="AB294" i="1"/>
  <c r="AA294" i="1"/>
  <c r="AC293" i="1"/>
  <c r="AB293" i="1"/>
  <c r="AA293" i="1"/>
  <c r="AC292" i="1"/>
  <c r="AB292" i="1"/>
  <c r="AA292" i="1"/>
  <c r="T291" i="1"/>
  <c r="AC291" i="1"/>
  <c r="S291" i="1"/>
  <c r="AB291" i="1"/>
  <c r="R291" i="1"/>
  <c r="P291" i="1"/>
  <c r="O291" i="1"/>
  <c r="N291" i="1"/>
  <c r="L291" i="1"/>
  <c r="K291" i="1"/>
  <c r="J291" i="1"/>
  <c r="H291" i="1"/>
  <c r="G291" i="1"/>
  <c r="F291" i="1"/>
  <c r="T290" i="1"/>
  <c r="S290" i="1"/>
  <c r="R290" i="1"/>
  <c r="P290" i="1"/>
  <c r="O290" i="1"/>
  <c r="N290" i="1"/>
  <c r="L290" i="1"/>
  <c r="K290" i="1"/>
  <c r="J290" i="1"/>
  <c r="H290" i="1"/>
  <c r="G290" i="1"/>
  <c r="F290" i="1"/>
  <c r="T289" i="1"/>
  <c r="AC289" i="1"/>
  <c r="S289" i="1"/>
  <c r="AB289" i="1"/>
  <c r="R289" i="1"/>
  <c r="P289" i="1"/>
  <c r="O289" i="1"/>
  <c r="N289" i="1"/>
  <c r="L289" i="1"/>
  <c r="K289" i="1"/>
  <c r="J289" i="1"/>
  <c r="H289" i="1"/>
  <c r="G289" i="1"/>
  <c r="F289" i="1"/>
  <c r="T288" i="1"/>
  <c r="S288" i="1"/>
  <c r="R288" i="1"/>
  <c r="P288" i="1"/>
  <c r="O288" i="1"/>
  <c r="N288" i="1"/>
  <c r="L288" i="1"/>
  <c r="K288" i="1"/>
  <c r="J288" i="1"/>
  <c r="H288" i="1"/>
  <c r="G288" i="1"/>
  <c r="F288" i="1"/>
  <c r="S287" i="1"/>
  <c r="AB287" i="1"/>
  <c r="R287" i="1"/>
  <c r="P287" i="1"/>
  <c r="AC287" i="1"/>
  <c r="O287" i="1"/>
  <c r="N287" i="1"/>
  <c r="L287" i="1"/>
  <c r="K287" i="1"/>
  <c r="J287" i="1"/>
  <c r="W287" i="1"/>
  <c r="H287" i="1"/>
  <c r="G287" i="1"/>
  <c r="X287" i="1"/>
  <c r="F287" i="1"/>
  <c r="T286" i="1"/>
  <c r="S286" i="1"/>
  <c r="R286" i="1"/>
  <c r="P286" i="1"/>
  <c r="O286" i="1"/>
  <c r="N286" i="1"/>
  <c r="L286" i="1"/>
  <c r="K286" i="1"/>
  <c r="J286" i="1"/>
  <c r="H286" i="1"/>
  <c r="G286" i="1"/>
  <c r="F286" i="1"/>
  <c r="S285" i="1"/>
  <c r="AB285" i="1"/>
  <c r="R285" i="1"/>
  <c r="P285" i="1"/>
  <c r="AC285" i="1"/>
  <c r="O285" i="1"/>
  <c r="N285" i="1"/>
  <c r="L285" i="1"/>
  <c r="K285" i="1"/>
  <c r="J285" i="1"/>
  <c r="H285" i="1"/>
  <c r="G285" i="1"/>
  <c r="F285" i="1"/>
  <c r="T284" i="1"/>
  <c r="S284" i="1"/>
  <c r="R284" i="1"/>
  <c r="P284" i="1"/>
  <c r="O284" i="1"/>
  <c r="N284" i="1"/>
  <c r="L284" i="1"/>
  <c r="K284" i="1"/>
  <c r="J284" i="1"/>
  <c r="H284" i="1"/>
  <c r="G284" i="1"/>
  <c r="F284" i="1"/>
  <c r="P283" i="1"/>
  <c r="AC283" i="1"/>
  <c r="O283" i="1"/>
  <c r="AB283" i="1"/>
  <c r="N283" i="1"/>
  <c r="AA283" i="1"/>
  <c r="H283" i="1"/>
  <c r="Y283" i="1"/>
  <c r="G283" i="1"/>
  <c r="X283" i="1"/>
  <c r="F283" i="1"/>
  <c r="W283" i="1"/>
  <c r="AC282" i="1"/>
  <c r="P282" i="1"/>
  <c r="O282" i="1"/>
  <c r="AB282" i="1"/>
  <c r="N282" i="1"/>
  <c r="AA282" i="1"/>
  <c r="H282" i="1"/>
  <c r="Y282" i="1"/>
  <c r="G282" i="1"/>
  <c r="X282" i="1"/>
  <c r="F282" i="1"/>
  <c r="W282" i="1"/>
  <c r="P281" i="1"/>
  <c r="AC281" i="1"/>
  <c r="O281" i="1"/>
  <c r="AB281" i="1"/>
  <c r="N281" i="1"/>
  <c r="AA281" i="1"/>
  <c r="H281" i="1"/>
  <c r="Y281" i="1"/>
  <c r="G281" i="1"/>
  <c r="X281" i="1"/>
  <c r="F281" i="1"/>
  <c r="W281" i="1"/>
  <c r="P280" i="1"/>
  <c r="AC280" i="1"/>
  <c r="O280" i="1"/>
  <c r="AB280" i="1"/>
  <c r="N280" i="1"/>
  <c r="AA280" i="1"/>
  <c r="H280" i="1"/>
  <c r="Y280" i="1"/>
  <c r="G280" i="1"/>
  <c r="X280" i="1"/>
  <c r="F280" i="1"/>
  <c r="W280" i="1"/>
  <c r="T279" i="1"/>
  <c r="S279" i="1"/>
  <c r="R279" i="1"/>
  <c r="P279" i="1"/>
  <c r="O279" i="1"/>
  <c r="N279" i="1"/>
  <c r="L279" i="1"/>
  <c r="K279" i="1"/>
  <c r="J279" i="1"/>
  <c r="H279" i="1"/>
  <c r="G279" i="1"/>
  <c r="F279" i="1"/>
  <c r="T278" i="1"/>
  <c r="S278" i="1"/>
  <c r="R278" i="1"/>
  <c r="P278" i="1"/>
  <c r="O278" i="1"/>
  <c r="N278" i="1"/>
  <c r="L278" i="1"/>
  <c r="K278" i="1"/>
  <c r="J278" i="1"/>
  <c r="H278" i="1"/>
  <c r="G278" i="1"/>
  <c r="F278" i="1"/>
  <c r="T277" i="1"/>
  <c r="S277" i="1"/>
  <c r="R277" i="1"/>
  <c r="P277" i="1"/>
  <c r="O277" i="1"/>
  <c r="N277" i="1"/>
  <c r="L277" i="1"/>
  <c r="K277" i="1"/>
  <c r="J277" i="1"/>
  <c r="H277" i="1"/>
  <c r="G277" i="1"/>
  <c r="F277" i="1"/>
  <c r="T276" i="1"/>
  <c r="S276" i="1"/>
  <c r="R276" i="1"/>
  <c r="AA276" i="1"/>
  <c r="P276" i="1"/>
  <c r="O276" i="1"/>
  <c r="N276" i="1"/>
  <c r="L276" i="1"/>
  <c r="K276" i="1"/>
  <c r="J276" i="1"/>
  <c r="H276" i="1"/>
  <c r="G276" i="1"/>
  <c r="F276" i="1"/>
  <c r="O270" i="1"/>
  <c r="AB270" i="1"/>
  <c r="AD270" i="1"/>
  <c r="O269" i="1"/>
  <c r="AB269" i="1"/>
  <c r="AD269" i="1"/>
  <c r="O268" i="1"/>
  <c r="AB268" i="1"/>
  <c r="AD268" i="1"/>
  <c r="O267" i="1"/>
  <c r="AB267" i="1"/>
  <c r="AD267" i="1"/>
  <c r="P266" i="1"/>
  <c r="AC266" i="1"/>
  <c r="O266" i="1"/>
  <c r="AB266" i="1"/>
  <c r="N266" i="1"/>
  <c r="AA266" i="1"/>
  <c r="P265" i="1"/>
  <c r="AC265" i="1"/>
  <c r="O265" i="1"/>
  <c r="AB265" i="1"/>
  <c r="N265" i="1"/>
  <c r="AA265" i="1"/>
  <c r="P264" i="1"/>
  <c r="AC264" i="1"/>
  <c r="O264" i="1"/>
  <c r="AB264" i="1"/>
  <c r="N264" i="1"/>
  <c r="AA264" i="1"/>
  <c r="P263" i="1"/>
  <c r="AC263" i="1"/>
  <c r="O263" i="1"/>
  <c r="AB263" i="1"/>
  <c r="N263" i="1"/>
  <c r="AA263" i="1"/>
  <c r="O262" i="1"/>
  <c r="AB262" i="1"/>
  <c r="AD262" i="1"/>
  <c r="G262" i="1"/>
  <c r="X262" i="1"/>
  <c r="Z262" i="1"/>
  <c r="O261" i="1"/>
  <c r="AB261" i="1"/>
  <c r="AD261" i="1"/>
  <c r="G261" i="1"/>
  <c r="X261" i="1"/>
  <c r="Z261" i="1"/>
  <c r="O260" i="1"/>
  <c r="AB260" i="1"/>
  <c r="AD260" i="1"/>
  <c r="G260" i="1"/>
  <c r="X260" i="1"/>
  <c r="Z260" i="1"/>
  <c r="O259" i="1"/>
  <c r="AB259" i="1"/>
  <c r="AD259" i="1"/>
  <c r="G259" i="1"/>
  <c r="X259" i="1"/>
  <c r="Z259" i="1"/>
  <c r="AC258" i="1"/>
  <c r="AB258" i="1"/>
  <c r="AA258" i="1"/>
  <c r="Y258" i="1"/>
  <c r="X258" i="1"/>
  <c r="W258" i="1"/>
  <c r="AC257" i="1"/>
  <c r="AB257" i="1"/>
  <c r="AA257" i="1"/>
  <c r="Y257" i="1"/>
  <c r="X257" i="1"/>
  <c r="W257" i="1"/>
  <c r="AC256" i="1"/>
  <c r="AB256" i="1"/>
  <c r="AA256" i="1"/>
  <c r="Y256" i="1"/>
  <c r="X256" i="1"/>
  <c r="W256" i="1"/>
  <c r="AC255" i="1"/>
  <c r="AB255" i="1"/>
  <c r="AA255" i="1"/>
  <c r="Y255" i="1"/>
  <c r="X255" i="1"/>
  <c r="W255" i="1"/>
  <c r="X250" i="1"/>
  <c r="W250" i="1"/>
  <c r="T250" i="1"/>
  <c r="AC250" i="1"/>
  <c r="S250" i="1"/>
  <c r="AB250" i="1"/>
  <c r="R250" i="1"/>
  <c r="AA250" i="1"/>
  <c r="AD250" i="1"/>
  <c r="L250" i="1"/>
  <c r="Y250" i="1"/>
  <c r="J250" i="1"/>
  <c r="AA249" i="1"/>
  <c r="T249" i="1"/>
  <c r="AC249" i="1"/>
  <c r="S249" i="1"/>
  <c r="AB249" i="1"/>
  <c r="R249" i="1"/>
  <c r="L249" i="1"/>
  <c r="Y249" i="1"/>
  <c r="K249" i="1"/>
  <c r="X249" i="1"/>
  <c r="J249" i="1"/>
  <c r="W249" i="1"/>
  <c r="T248" i="1"/>
  <c r="AC248" i="1"/>
  <c r="S248" i="1"/>
  <c r="AB248" i="1"/>
  <c r="R248" i="1"/>
  <c r="AA248" i="1"/>
  <c r="L248" i="1"/>
  <c r="Y248" i="1"/>
  <c r="K248" i="1"/>
  <c r="X248" i="1"/>
  <c r="J248" i="1"/>
  <c r="W248" i="1"/>
  <c r="X247" i="1"/>
  <c r="T247" i="1"/>
  <c r="AC247" i="1"/>
  <c r="S247" i="1"/>
  <c r="AB247" i="1"/>
  <c r="R247" i="1"/>
  <c r="AA247" i="1"/>
  <c r="L247" i="1"/>
  <c r="Y247" i="1"/>
  <c r="K247" i="1"/>
  <c r="J247" i="1"/>
  <c r="W247" i="1"/>
  <c r="Y246" i="1"/>
  <c r="Z246" i="1"/>
  <c r="Y245" i="1"/>
  <c r="Z245" i="1"/>
  <c r="Y244" i="1"/>
  <c r="Z244" i="1"/>
  <c r="Y243" i="1"/>
  <c r="Z243" i="1"/>
  <c r="P242" i="1"/>
  <c r="AC242" i="1"/>
  <c r="AD242" i="1"/>
  <c r="H242" i="1"/>
  <c r="Y242" i="1"/>
  <c r="G242" i="1"/>
  <c r="X242" i="1"/>
  <c r="F242" i="1"/>
  <c r="W242" i="1"/>
  <c r="P241" i="1"/>
  <c r="AC241" i="1"/>
  <c r="AD241" i="1"/>
  <c r="H241" i="1"/>
  <c r="Y241" i="1"/>
  <c r="G241" i="1"/>
  <c r="X241" i="1"/>
  <c r="F241" i="1"/>
  <c r="W241" i="1"/>
  <c r="AC240" i="1"/>
  <c r="AD240" i="1"/>
  <c r="P240" i="1"/>
  <c r="H240" i="1"/>
  <c r="Y240" i="1"/>
  <c r="G240" i="1"/>
  <c r="X240" i="1"/>
  <c r="F240" i="1"/>
  <c r="W240" i="1"/>
  <c r="P239" i="1"/>
  <c r="AC239" i="1"/>
  <c r="AD239" i="1"/>
  <c r="H239" i="1"/>
  <c r="Y239" i="1"/>
  <c r="G239" i="1"/>
  <c r="X239" i="1"/>
  <c r="F239" i="1"/>
  <c r="W239" i="1"/>
  <c r="Y238" i="1"/>
  <c r="W238" i="1"/>
  <c r="Y237" i="1"/>
  <c r="W237" i="1"/>
  <c r="Y236" i="1"/>
  <c r="W236" i="1"/>
  <c r="Y235" i="1"/>
  <c r="W235" i="1"/>
  <c r="AC234" i="1"/>
  <c r="P234" i="1"/>
  <c r="O234" i="1"/>
  <c r="AB234" i="1"/>
  <c r="H234" i="1"/>
  <c r="Y234" i="1"/>
  <c r="Z234" i="1"/>
  <c r="AC233" i="1"/>
  <c r="P233" i="1"/>
  <c r="O233" i="1"/>
  <c r="AB233" i="1"/>
  <c r="H233" i="1"/>
  <c r="Y233" i="1"/>
  <c r="Z233" i="1"/>
  <c r="P232" i="1"/>
  <c r="AC232" i="1"/>
  <c r="O232" i="1"/>
  <c r="AB232" i="1"/>
  <c r="H232" i="1"/>
  <c r="Y232" i="1"/>
  <c r="Z232" i="1"/>
  <c r="P231" i="1"/>
  <c r="AC231" i="1"/>
  <c r="O231" i="1"/>
  <c r="AB231" i="1"/>
  <c r="H231" i="1"/>
  <c r="Y231" i="1"/>
  <c r="Z231" i="1"/>
  <c r="AA230" i="1"/>
  <c r="AD230" i="1"/>
  <c r="AA229" i="1"/>
  <c r="AD229" i="1"/>
  <c r="AA228" i="1"/>
  <c r="AD228" i="1"/>
  <c r="N227" i="1"/>
  <c r="AA227" i="1"/>
  <c r="AD227" i="1"/>
  <c r="AC224" i="1"/>
  <c r="AD224" i="1"/>
  <c r="X224" i="1"/>
  <c r="Z224" i="1"/>
  <c r="AD223" i="1"/>
  <c r="AC223" i="1"/>
  <c r="X223" i="1"/>
  <c r="Z223" i="1"/>
  <c r="AC222" i="1"/>
  <c r="AD222" i="1"/>
  <c r="X222" i="1"/>
  <c r="Z222" i="1"/>
  <c r="AC221" i="1"/>
  <c r="AD221" i="1"/>
  <c r="X221" i="1"/>
  <c r="Z221" i="1"/>
  <c r="N220" i="1"/>
  <c r="AA220" i="1"/>
  <c r="AD220" i="1"/>
  <c r="G220" i="1"/>
  <c r="X220" i="1"/>
  <c r="Z220" i="1"/>
  <c r="N219" i="1"/>
  <c r="AA219" i="1"/>
  <c r="AD219" i="1"/>
  <c r="G219" i="1"/>
  <c r="X219" i="1"/>
  <c r="Z219" i="1"/>
  <c r="AD218" i="1"/>
  <c r="N218" i="1"/>
  <c r="AA218" i="1"/>
  <c r="G218" i="1"/>
  <c r="X218" i="1"/>
  <c r="Z218" i="1"/>
  <c r="N217" i="1"/>
  <c r="AA217" i="1"/>
  <c r="AD217" i="1"/>
  <c r="G217" i="1"/>
  <c r="X217" i="1"/>
  <c r="Z217" i="1"/>
  <c r="N216" i="1"/>
  <c r="AA216" i="1"/>
  <c r="AD216" i="1"/>
  <c r="H216" i="1"/>
  <c r="Y216" i="1"/>
  <c r="Z216" i="1"/>
  <c r="Z215" i="1"/>
  <c r="N215" i="1"/>
  <c r="AA215" i="1"/>
  <c r="AD215" i="1"/>
  <c r="H215" i="1"/>
  <c r="Y215" i="1"/>
  <c r="N214" i="1"/>
  <c r="AA214" i="1"/>
  <c r="AD214" i="1"/>
  <c r="H214" i="1"/>
  <c r="Y214" i="1"/>
  <c r="Z214" i="1"/>
  <c r="N213" i="1"/>
  <c r="AA213" i="1"/>
  <c r="AD213" i="1"/>
  <c r="H213" i="1"/>
  <c r="Y213" i="1"/>
  <c r="Z213" i="1"/>
  <c r="O207" i="1"/>
  <c r="AB207" i="1"/>
  <c r="N207" i="1"/>
  <c r="AA207" i="1"/>
  <c r="H207" i="1"/>
  <c r="Y207" i="1"/>
  <c r="Z207" i="1"/>
  <c r="O206" i="1"/>
  <c r="AB206" i="1"/>
  <c r="N206" i="1"/>
  <c r="AA206" i="1"/>
  <c r="H206" i="1"/>
  <c r="Y206" i="1"/>
  <c r="Z206" i="1"/>
  <c r="O205" i="1"/>
  <c r="AB205" i="1"/>
  <c r="N205" i="1"/>
  <c r="AA205" i="1"/>
  <c r="H205" i="1"/>
  <c r="Y205" i="1"/>
  <c r="Z205" i="1"/>
  <c r="O204" i="1"/>
  <c r="AB204" i="1"/>
  <c r="N204" i="1"/>
  <c r="AA204" i="1"/>
  <c r="H204" i="1"/>
  <c r="Y204" i="1"/>
  <c r="Z204" i="1"/>
  <c r="AC203" i="1"/>
  <c r="AB203" i="1"/>
  <c r="Z203" i="1"/>
  <c r="W203" i="1"/>
  <c r="AC202" i="1"/>
  <c r="AB202" i="1"/>
  <c r="Z202" i="1"/>
  <c r="W202" i="1"/>
  <c r="AC201" i="1"/>
  <c r="AB201" i="1"/>
  <c r="W201" i="1"/>
  <c r="Z201" i="1"/>
  <c r="AC200" i="1"/>
  <c r="AB200" i="1"/>
  <c r="W200" i="1"/>
  <c r="Z200" i="1"/>
  <c r="P199" i="1"/>
  <c r="AC199" i="1"/>
  <c r="N199" i="1"/>
  <c r="AA199" i="1"/>
  <c r="G199" i="1"/>
  <c r="X199" i="1"/>
  <c r="Z199" i="1"/>
  <c r="P198" i="1"/>
  <c r="AC198" i="1"/>
  <c r="N198" i="1"/>
  <c r="AA198" i="1"/>
  <c r="AD198" i="1"/>
  <c r="G198" i="1"/>
  <c r="X198" i="1"/>
  <c r="Z198" i="1"/>
  <c r="P197" i="1"/>
  <c r="AC197" i="1"/>
  <c r="N197" i="1"/>
  <c r="AA197" i="1"/>
  <c r="G197" i="1"/>
  <c r="X197" i="1"/>
  <c r="Z197" i="1"/>
  <c r="P196" i="1"/>
  <c r="AC196" i="1"/>
  <c r="N196" i="1"/>
  <c r="AA196" i="1"/>
  <c r="G196" i="1"/>
  <c r="X196" i="1"/>
  <c r="Z196" i="1"/>
  <c r="X195" i="1"/>
  <c r="P195" i="1"/>
  <c r="AC195" i="1"/>
  <c r="O195" i="1"/>
  <c r="AB195" i="1"/>
  <c r="N195" i="1"/>
  <c r="AA195" i="1"/>
  <c r="H195" i="1"/>
  <c r="Y195" i="1"/>
  <c r="G195" i="1"/>
  <c r="F195" i="1"/>
  <c r="W195" i="1"/>
  <c r="P194" i="1"/>
  <c r="AC194" i="1"/>
  <c r="O194" i="1"/>
  <c r="AB194" i="1"/>
  <c r="N194" i="1"/>
  <c r="AA194" i="1"/>
  <c r="H194" i="1"/>
  <c r="Y194" i="1"/>
  <c r="G194" i="1"/>
  <c r="X194" i="1"/>
  <c r="F194" i="1"/>
  <c r="W194" i="1"/>
  <c r="P193" i="1"/>
  <c r="AC193" i="1"/>
  <c r="O193" i="1"/>
  <c r="AB193" i="1"/>
  <c r="N193" i="1"/>
  <c r="AA193" i="1"/>
  <c r="H193" i="1"/>
  <c r="Y193" i="1"/>
  <c r="G193" i="1"/>
  <c r="X193" i="1"/>
  <c r="F193" i="1"/>
  <c r="W193" i="1"/>
  <c r="X192" i="1"/>
  <c r="P192" i="1"/>
  <c r="AC192" i="1"/>
  <c r="O192" i="1"/>
  <c r="AB192" i="1"/>
  <c r="N192" i="1"/>
  <c r="AA192" i="1"/>
  <c r="H192" i="1"/>
  <c r="Y192" i="1"/>
  <c r="G192" i="1"/>
  <c r="F192" i="1"/>
  <c r="W192" i="1"/>
  <c r="T191" i="1"/>
  <c r="AC191" i="1"/>
  <c r="S191" i="1"/>
  <c r="AB191" i="1"/>
  <c r="R191" i="1"/>
  <c r="AA191" i="1"/>
  <c r="L191" i="1"/>
  <c r="Y191" i="1"/>
  <c r="K191" i="1"/>
  <c r="X191" i="1"/>
  <c r="J191" i="1"/>
  <c r="W191" i="1"/>
  <c r="AC190" i="1"/>
  <c r="T190" i="1"/>
  <c r="S190" i="1"/>
  <c r="AB190" i="1"/>
  <c r="R190" i="1"/>
  <c r="AA190" i="1"/>
  <c r="L190" i="1"/>
  <c r="Y190" i="1"/>
  <c r="K190" i="1"/>
  <c r="X190" i="1"/>
  <c r="J190" i="1"/>
  <c r="W190" i="1"/>
  <c r="W189" i="1"/>
  <c r="T189" i="1"/>
  <c r="AC189" i="1"/>
  <c r="S189" i="1"/>
  <c r="AB189" i="1"/>
  <c r="R189" i="1"/>
  <c r="AA189" i="1"/>
  <c r="L189" i="1"/>
  <c r="Y189" i="1"/>
  <c r="K189" i="1"/>
  <c r="X189" i="1"/>
  <c r="J189" i="1"/>
  <c r="T188" i="1"/>
  <c r="AC188" i="1"/>
  <c r="S188" i="1"/>
  <c r="AB188" i="1"/>
  <c r="R188" i="1"/>
  <c r="AA188" i="1"/>
  <c r="L188" i="1"/>
  <c r="Y188" i="1"/>
  <c r="K188" i="1"/>
  <c r="X188" i="1"/>
  <c r="J188" i="1"/>
  <c r="W188" i="1"/>
  <c r="Y181" i="1"/>
  <c r="P181" i="1"/>
  <c r="AC181" i="1"/>
  <c r="N181" i="1"/>
  <c r="AA181" i="1"/>
  <c r="G181" i="1"/>
  <c r="X181" i="1"/>
  <c r="F181" i="1"/>
  <c r="W181" i="1"/>
  <c r="Y180" i="1"/>
  <c r="P180" i="1"/>
  <c r="AC180" i="1"/>
  <c r="N180" i="1"/>
  <c r="AA180" i="1"/>
  <c r="G180" i="1"/>
  <c r="X180" i="1"/>
  <c r="F180" i="1"/>
  <c r="W180" i="1"/>
  <c r="Y179" i="1"/>
  <c r="P179" i="1"/>
  <c r="AC179" i="1"/>
  <c r="N179" i="1"/>
  <c r="AA179" i="1"/>
  <c r="G179" i="1"/>
  <c r="X179" i="1"/>
  <c r="F179" i="1"/>
  <c r="W179" i="1"/>
  <c r="Y178" i="1"/>
  <c r="P178" i="1"/>
  <c r="AC178" i="1"/>
  <c r="N178" i="1"/>
  <c r="AA178" i="1"/>
  <c r="G178" i="1"/>
  <c r="X178" i="1"/>
  <c r="F178" i="1"/>
  <c r="W178" i="1"/>
  <c r="AB177" i="1"/>
  <c r="AD177" i="1"/>
  <c r="AB176" i="1"/>
  <c r="AD176" i="1"/>
  <c r="AB175" i="1"/>
  <c r="AD175" i="1"/>
  <c r="AB174" i="1"/>
  <c r="AD174" i="1"/>
  <c r="AA173" i="1"/>
  <c r="AD173" i="1"/>
  <c r="AA172" i="1"/>
  <c r="AD172" i="1"/>
  <c r="AA171" i="1"/>
  <c r="AD171" i="1"/>
  <c r="AA170" i="1"/>
  <c r="AD170" i="1"/>
  <c r="P169" i="1"/>
  <c r="AC169" i="1"/>
  <c r="O169" i="1"/>
  <c r="AB169" i="1"/>
  <c r="N169" i="1"/>
  <c r="AA169" i="1"/>
  <c r="H169" i="1"/>
  <c r="Y169" i="1"/>
  <c r="G169" i="1"/>
  <c r="X169" i="1"/>
  <c r="F169" i="1"/>
  <c r="W169" i="1"/>
  <c r="P168" i="1"/>
  <c r="AC168" i="1"/>
  <c r="O168" i="1"/>
  <c r="AB168" i="1"/>
  <c r="N168" i="1"/>
  <c r="AA168" i="1"/>
  <c r="H168" i="1"/>
  <c r="Y168" i="1"/>
  <c r="G168" i="1"/>
  <c r="X168" i="1"/>
  <c r="F168" i="1"/>
  <c r="W168" i="1"/>
  <c r="P167" i="1"/>
  <c r="AC167" i="1"/>
  <c r="O167" i="1"/>
  <c r="AB167" i="1"/>
  <c r="N167" i="1"/>
  <c r="AA167" i="1"/>
  <c r="H167" i="1"/>
  <c r="Y167" i="1"/>
  <c r="G167" i="1"/>
  <c r="X167" i="1"/>
  <c r="F167" i="1"/>
  <c r="W167" i="1"/>
  <c r="P166" i="1"/>
  <c r="AC166" i="1"/>
  <c r="O166" i="1"/>
  <c r="AB166" i="1"/>
  <c r="N166" i="1"/>
  <c r="AA166" i="1"/>
  <c r="H166" i="1"/>
  <c r="Y166" i="1"/>
  <c r="G166" i="1"/>
  <c r="X166" i="1"/>
  <c r="F166" i="1"/>
  <c r="W166" i="1"/>
  <c r="AA165" i="1"/>
  <c r="AD165" i="1"/>
  <c r="AA164" i="1"/>
  <c r="AD164" i="1"/>
  <c r="AD163" i="1"/>
  <c r="AA163" i="1"/>
  <c r="AA162" i="1"/>
  <c r="AD162" i="1"/>
  <c r="AB161" i="1"/>
  <c r="AA161" i="1"/>
  <c r="X161" i="1"/>
  <c r="Z161" i="1"/>
  <c r="AB160" i="1"/>
  <c r="AA160" i="1"/>
  <c r="X160" i="1"/>
  <c r="Z160" i="1"/>
  <c r="AB159" i="1"/>
  <c r="AA159" i="1"/>
  <c r="X159" i="1"/>
  <c r="Z159" i="1"/>
  <c r="AB158" i="1"/>
  <c r="AD158" i="1"/>
  <c r="AA158" i="1"/>
  <c r="X158" i="1"/>
  <c r="Z158" i="1"/>
  <c r="P157" i="1"/>
  <c r="AC157" i="1"/>
  <c r="O157" i="1"/>
  <c r="AB157" i="1"/>
  <c r="N157" i="1"/>
  <c r="AA157" i="1"/>
  <c r="H157" i="1"/>
  <c r="Y157" i="1"/>
  <c r="G157" i="1"/>
  <c r="X157" i="1"/>
  <c r="F157" i="1"/>
  <c r="W157" i="1"/>
  <c r="P156" i="1"/>
  <c r="AC156" i="1"/>
  <c r="O156" i="1"/>
  <c r="AB156" i="1"/>
  <c r="N156" i="1"/>
  <c r="AA156" i="1"/>
  <c r="H156" i="1"/>
  <c r="Y156" i="1"/>
  <c r="G156" i="1"/>
  <c r="X156" i="1"/>
  <c r="F156" i="1"/>
  <c r="W156" i="1"/>
  <c r="P155" i="1"/>
  <c r="AC155" i="1"/>
  <c r="O155" i="1"/>
  <c r="AB155" i="1"/>
  <c r="N155" i="1"/>
  <c r="AA155" i="1"/>
  <c r="H155" i="1"/>
  <c r="Y155" i="1"/>
  <c r="G155" i="1"/>
  <c r="X155" i="1"/>
  <c r="F155" i="1"/>
  <c r="W155" i="1"/>
  <c r="P154" i="1"/>
  <c r="AC154" i="1"/>
  <c r="O154" i="1"/>
  <c r="AB154" i="1"/>
  <c r="N154" i="1"/>
  <c r="AA154" i="1"/>
  <c r="H154" i="1"/>
  <c r="Y154" i="1"/>
  <c r="G154" i="1"/>
  <c r="X154" i="1"/>
  <c r="F154" i="1"/>
  <c r="W154" i="1"/>
  <c r="N153" i="1"/>
  <c r="AA153" i="1"/>
  <c r="AD153" i="1"/>
  <c r="F153" i="1"/>
  <c r="W153" i="1"/>
  <c r="Z153" i="1"/>
  <c r="N152" i="1"/>
  <c r="AA152" i="1"/>
  <c r="AD152" i="1"/>
  <c r="F152" i="1"/>
  <c r="W152" i="1"/>
  <c r="Z152" i="1"/>
  <c r="N151" i="1"/>
  <c r="AA151" i="1"/>
  <c r="AD151" i="1"/>
  <c r="F151" i="1"/>
  <c r="W151" i="1"/>
  <c r="Z151" i="1"/>
  <c r="AA150" i="1"/>
  <c r="AD150" i="1"/>
  <c r="N150" i="1"/>
  <c r="F150" i="1"/>
  <c r="W150" i="1"/>
  <c r="Z150" i="1"/>
  <c r="AC149" i="1"/>
  <c r="AD149" i="1"/>
  <c r="AB149" i="1"/>
  <c r="AA149" i="1"/>
  <c r="Y149" i="1"/>
  <c r="X149" i="1"/>
  <c r="W149" i="1"/>
  <c r="AC148" i="1"/>
  <c r="AB148" i="1"/>
  <c r="AA148" i="1"/>
  <c r="Y148" i="1"/>
  <c r="X148" i="1"/>
  <c r="W148" i="1"/>
  <c r="AC147" i="1"/>
  <c r="AD147" i="1"/>
  <c r="AB147" i="1"/>
  <c r="AA147" i="1"/>
  <c r="Y147" i="1"/>
  <c r="X147" i="1"/>
  <c r="W147" i="1"/>
  <c r="AC146" i="1"/>
  <c r="AB146" i="1"/>
  <c r="AA146" i="1"/>
  <c r="Y146" i="1"/>
  <c r="X146" i="1"/>
  <c r="W146" i="1"/>
  <c r="X145" i="1"/>
  <c r="P145" i="1"/>
  <c r="AC145" i="1"/>
  <c r="O145" i="1"/>
  <c r="AB145" i="1"/>
  <c r="N145" i="1"/>
  <c r="AA145" i="1"/>
  <c r="H145" i="1"/>
  <c r="Y145" i="1"/>
  <c r="G145" i="1"/>
  <c r="F145" i="1"/>
  <c r="W145" i="1"/>
  <c r="P144" i="1"/>
  <c r="AC144" i="1"/>
  <c r="O144" i="1"/>
  <c r="AB144" i="1"/>
  <c r="N144" i="1"/>
  <c r="AA144" i="1"/>
  <c r="H144" i="1"/>
  <c r="Y144" i="1"/>
  <c r="G144" i="1"/>
  <c r="X144" i="1"/>
  <c r="F144" i="1"/>
  <c r="W144" i="1"/>
  <c r="P143" i="1"/>
  <c r="AC143" i="1"/>
  <c r="O143" i="1"/>
  <c r="AB143" i="1"/>
  <c r="N143" i="1"/>
  <c r="AA143" i="1"/>
  <c r="H143" i="1"/>
  <c r="Y143" i="1"/>
  <c r="G143" i="1"/>
  <c r="X143" i="1"/>
  <c r="F143" i="1"/>
  <c r="W143" i="1"/>
  <c r="X142" i="1"/>
  <c r="P142" i="1"/>
  <c r="AC142" i="1"/>
  <c r="O142" i="1"/>
  <c r="AB142" i="1"/>
  <c r="N142" i="1"/>
  <c r="AA142" i="1"/>
  <c r="H142" i="1"/>
  <c r="Y142" i="1"/>
  <c r="G142" i="1"/>
  <c r="F142" i="1"/>
  <c r="W142" i="1"/>
  <c r="P141" i="1"/>
  <c r="AC141" i="1"/>
  <c r="O141" i="1"/>
  <c r="AB141" i="1"/>
  <c r="N141" i="1"/>
  <c r="AA141" i="1"/>
  <c r="H141" i="1"/>
  <c r="Y141" i="1"/>
  <c r="G141" i="1"/>
  <c r="X141" i="1"/>
  <c r="F141" i="1"/>
  <c r="W141" i="1"/>
  <c r="P140" i="1"/>
  <c r="AC140" i="1"/>
  <c r="O140" i="1"/>
  <c r="AB140" i="1"/>
  <c r="N140" i="1"/>
  <c r="AA140" i="1"/>
  <c r="H140" i="1"/>
  <c r="Y140" i="1"/>
  <c r="G140" i="1"/>
  <c r="X140" i="1"/>
  <c r="F140" i="1"/>
  <c r="W140" i="1"/>
  <c r="W139" i="1"/>
  <c r="P139" i="1"/>
  <c r="AC139" i="1"/>
  <c r="O139" i="1"/>
  <c r="AB139" i="1"/>
  <c r="N139" i="1"/>
  <c r="AA139" i="1"/>
  <c r="H139" i="1"/>
  <c r="Y139" i="1"/>
  <c r="G139" i="1"/>
  <c r="X139" i="1"/>
  <c r="F139" i="1"/>
  <c r="P138" i="1"/>
  <c r="AC138" i="1"/>
  <c r="O138" i="1"/>
  <c r="AB138" i="1"/>
  <c r="N138" i="1"/>
  <c r="AA138" i="1"/>
  <c r="H138" i="1"/>
  <c r="Y138" i="1"/>
  <c r="G138" i="1"/>
  <c r="X138" i="1"/>
  <c r="F138" i="1"/>
  <c r="W138" i="1"/>
  <c r="P137" i="1"/>
  <c r="AC137" i="1"/>
  <c r="O137" i="1"/>
  <c r="AB137" i="1"/>
  <c r="N137" i="1"/>
  <c r="AA137" i="1"/>
  <c r="H137" i="1"/>
  <c r="Y137" i="1"/>
  <c r="G137" i="1"/>
  <c r="X137" i="1"/>
  <c r="F137" i="1"/>
  <c r="W137" i="1"/>
  <c r="P136" i="1"/>
  <c r="AC136" i="1"/>
  <c r="O136" i="1"/>
  <c r="AB136" i="1"/>
  <c r="N136" i="1"/>
  <c r="AA136" i="1"/>
  <c r="H136" i="1"/>
  <c r="Y136" i="1"/>
  <c r="G136" i="1"/>
  <c r="X136" i="1"/>
  <c r="F136" i="1"/>
  <c r="W136" i="1"/>
  <c r="P135" i="1"/>
  <c r="AC135" i="1"/>
  <c r="O135" i="1"/>
  <c r="AB135" i="1"/>
  <c r="N135" i="1"/>
  <c r="AA135" i="1"/>
  <c r="H135" i="1"/>
  <c r="Y135" i="1"/>
  <c r="G135" i="1"/>
  <c r="X135" i="1"/>
  <c r="F135" i="1"/>
  <c r="W135" i="1"/>
  <c r="X134" i="1"/>
  <c r="P134" i="1"/>
  <c r="AC134" i="1"/>
  <c r="O134" i="1"/>
  <c r="AB134" i="1"/>
  <c r="N134" i="1"/>
  <c r="AA134" i="1"/>
  <c r="H134" i="1"/>
  <c r="Y134" i="1"/>
  <c r="G134" i="1"/>
  <c r="F134" i="1"/>
  <c r="W134" i="1"/>
  <c r="T131" i="1"/>
  <c r="AC131" i="1"/>
  <c r="S131" i="1"/>
  <c r="AB131" i="1"/>
  <c r="R131" i="1"/>
  <c r="AA131" i="1"/>
  <c r="L131" i="1"/>
  <c r="Y131" i="1"/>
  <c r="K131" i="1"/>
  <c r="X131" i="1"/>
  <c r="J131" i="1"/>
  <c r="W131" i="1"/>
  <c r="T130" i="1"/>
  <c r="AC130" i="1"/>
  <c r="S130" i="1"/>
  <c r="AB130" i="1"/>
  <c r="R130" i="1"/>
  <c r="AA130" i="1"/>
  <c r="L130" i="1"/>
  <c r="Y130" i="1"/>
  <c r="K130" i="1"/>
  <c r="X130" i="1"/>
  <c r="J130" i="1"/>
  <c r="W130" i="1"/>
  <c r="W129" i="1"/>
  <c r="T129" i="1"/>
  <c r="AC129" i="1"/>
  <c r="S129" i="1"/>
  <c r="AB129" i="1"/>
  <c r="R129" i="1"/>
  <c r="AA129" i="1"/>
  <c r="L129" i="1"/>
  <c r="Y129" i="1"/>
  <c r="K129" i="1"/>
  <c r="X129" i="1"/>
  <c r="J129" i="1"/>
  <c r="X128" i="1"/>
  <c r="T128" i="1"/>
  <c r="AC128" i="1"/>
  <c r="S128" i="1"/>
  <c r="AB128" i="1"/>
  <c r="R128" i="1"/>
  <c r="AA128" i="1"/>
  <c r="L128" i="1"/>
  <c r="Y128" i="1"/>
  <c r="K128" i="1"/>
  <c r="J128" i="1"/>
  <c r="W128" i="1"/>
  <c r="AC127" i="1"/>
  <c r="AB127" i="1"/>
  <c r="AA127" i="1"/>
  <c r="Y127" i="1"/>
  <c r="X127" i="1"/>
  <c r="W127" i="1"/>
  <c r="AC126" i="1"/>
  <c r="AB126" i="1"/>
  <c r="AA126" i="1"/>
  <c r="Y126" i="1"/>
  <c r="X126" i="1"/>
  <c r="W126" i="1"/>
  <c r="AC125" i="1"/>
  <c r="AB125" i="1"/>
  <c r="AA125" i="1"/>
  <c r="Y125" i="1"/>
  <c r="X125" i="1"/>
  <c r="W125" i="1"/>
  <c r="AC124" i="1"/>
  <c r="AB124" i="1"/>
  <c r="AA124" i="1"/>
  <c r="Y124" i="1"/>
  <c r="X124" i="1"/>
  <c r="W124" i="1"/>
  <c r="AC120" i="1"/>
  <c r="AA120" i="1"/>
  <c r="X120" i="1"/>
  <c r="Z120" i="1"/>
  <c r="AC119" i="1"/>
  <c r="AA119" i="1"/>
  <c r="X119" i="1"/>
  <c r="Z119" i="1"/>
  <c r="AC118" i="1"/>
  <c r="AD118" i="1"/>
  <c r="AA118" i="1"/>
  <c r="X118" i="1"/>
  <c r="Z118" i="1"/>
  <c r="AC117" i="1"/>
  <c r="AA117" i="1"/>
  <c r="X117" i="1"/>
  <c r="Z117" i="1"/>
  <c r="AC116" i="1"/>
  <c r="AB116" i="1"/>
  <c r="Y116" i="1"/>
  <c r="X116" i="1"/>
  <c r="W116" i="1"/>
  <c r="AC115" i="1"/>
  <c r="AB115" i="1"/>
  <c r="Y115" i="1"/>
  <c r="X115" i="1"/>
  <c r="W115" i="1"/>
  <c r="AC114" i="1"/>
  <c r="AB114" i="1"/>
  <c r="Y114" i="1"/>
  <c r="X114" i="1"/>
  <c r="W114" i="1"/>
  <c r="AC113" i="1"/>
  <c r="AB113" i="1"/>
  <c r="Y113" i="1"/>
  <c r="X113" i="1"/>
  <c r="W113" i="1"/>
  <c r="H112" i="1"/>
  <c r="Y112" i="1"/>
  <c r="Z112" i="1"/>
  <c r="Y111" i="1"/>
  <c r="Z111" i="1"/>
  <c r="H111" i="1"/>
  <c r="H110" i="1"/>
  <c r="Y110" i="1"/>
  <c r="Z110" i="1"/>
  <c r="H109" i="1"/>
  <c r="Y109" i="1"/>
  <c r="Z109" i="1"/>
  <c r="W108" i="1"/>
  <c r="P108" i="1"/>
  <c r="AC108" i="1"/>
  <c r="O108" i="1"/>
  <c r="AB108" i="1"/>
  <c r="N108" i="1"/>
  <c r="AA108" i="1"/>
  <c r="H108" i="1"/>
  <c r="Y108" i="1"/>
  <c r="G108" i="1"/>
  <c r="X108" i="1"/>
  <c r="F108" i="1"/>
  <c r="P107" i="1"/>
  <c r="AC107" i="1"/>
  <c r="O107" i="1"/>
  <c r="AB107" i="1"/>
  <c r="N107" i="1"/>
  <c r="AA107" i="1"/>
  <c r="H107" i="1"/>
  <c r="Y107" i="1"/>
  <c r="G107" i="1"/>
  <c r="X107" i="1"/>
  <c r="F107" i="1"/>
  <c r="W107" i="1"/>
  <c r="P106" i="1"/>
  <c r="AC106" i="1"/>
  <c r="O106" i="1"/>
  <c r="AB106" i="1"/>
  <c r="N106" i="1"/>
  <c r="AA106" i="1"/>
  <c r="H106" i="1"/>
  <c r="Y106" i="1"/>
  <c r="G106" i="1"/>
  <c r="X106" i="1"/>
  <c r="F106" i="1"/>
  <c r="W106" i="1"/>
  <c r="P105" i="1"/>
  <c r="AC105" i="1"/>
  <c r="O105" i="1"/>
  <c r="AB105" i="1"/>
  <c r="N105" i="1"/>
  <c r="AA105" i="1"/>
  <c r="H105" i="1"/>
  <c r="Y105" i="1"/>
  <c r="G105" i="1"/>
  <c r="X105" i="1"/>
  <c r="F105" i="1"/>
  <c r="W105" i="1"/>
  <c r="X104" i="1"/>
  <c r="P104" i="1"/>
  <c r="AC104" i="1"/>
  <c r="O104" i="1"/>
  <c r="AB104" i="1"/>
  <c r="N104" i="1"/>
  <c r="AA104" i="1"/>
  <c r="H104" i="1"/>
  <c r="Y104" i="1"/>
  <c r="G104" i="1"/>
  <c r="F104" i="1"/>
  <c r="W104" i="1"/>
  <c r="P103" i="1"/>
  <c r="AC103" i="1"/>
  <c r="O103" i="1"/>
  <c r="AB103" i="1"/>
  <c r="N103" i="1"/>
  <c r="AA103" i="1"/>
  <c r="H103" i="1"/>
  <c r="Y103" i="1"/>
  <c r="G103" i="1"/>
  <c r="X103" i="1"/>
  <c r="F103" i="1"/>
  <c r="W103" i="1"/>
  <c r="P102" i="1"/>
  <c r="AC102" i="1"/>
  <c r="O102" i="1"/>
  <c r="AB102" i="1"/>
  <c r="N102" i="1"/>
  <c r="AA102" i="1"/>
  <c r="H102" i="1"/>
  <c r="Y102" i="1"/>
  <c r="G102" i="1"/>
  <c r="X102" i="1"/>
  <c r="F102" i="1"/>
  <c r="W102" i="1"/>
  <c r="P101" i="1"/>
  <c r="AC101" i="1"/>
  <c r="O101" i="1"/>
  <c r="AB101" i="1"/>
  <c r="N101" i="1"/>
  <c r="AA101" i="1"/>
  <c r="H101" i="1"/>
  <c r="Y101" i="1"/>
  <c r="G101" i="1"/>
  <c r="X101" i="1"/>
  <c r="F101" i="1"/>
  <c r="W101" i="1"/>
  <c r="P100" i="1"/>
  <c r="AC100" i="1"/>
  <c r="O100" i="1"/>
  <c r="AB100" i="1"/>
  <c r="N100" i="1"/>
  <c r="AA100" i="1"/>
  <c r="H100" i="1"/>
  <c r="Y100" i="1"/>
  <c r="G100" i="1"/>
  <c r="X100" i="1"/>
  <c r="F100" i="1"/>
  <c r="W100" i="1"/>
  <c r="P99" i="1"/>
  <c r="AC99" i="1"/>
  <c r="O99" i="1"/>
  <c r="AB99" i="1"/>
  <c r="N99" i="1"/>
  <c r="AA99" i="1"/>
  <c r="H99" i="1"/>
  <c r="Y99" i="1"/>
  <c r="G99" i="1"/>
  <c r="X99" i="1"/>
  <c r="F99" i="1"/>
  <c r="W99" i="1"/>
  <c r="X98" i="1"/>
  <c r="P98" i="1"/>
  <c r="AC98" i="1"/>
  <c r="O98" i="1"/>
  <c r="AB98" i="1"/>
  <c r="N98" i="1"/>
  <c r="AA98" i="1"/>
  <c r="H98" i="1"/>
  <c r="Y98" i="1"/>
  <c r="G98" i="1"/>
  <c r="F98" i="1"/>
  <c r="W98" i="1"/>
  <c r="P97" i="1"/>
  <c r="AC97" i="1"/>
  <c r="O97" i="1"/>
  <c r="AB97" i="1"/>
  <c r="N97" i="1"/>
  <c r="AA97" i="1"/>
  <c r="H97" i="1"/>
  <c r="Y97" i="1"/>
  <c r="G97" i="1"/>
  <c r="X97" i="1"/>
  <c r="F97" i="1"/>
  <c r="W97" i="1"/>
  <c r="AB96" i="1"/>
  <c r="AA96" i="1"/>
  <c r="Y96" i="1"/>
  <c r="W96" i="1"/>
  <c r="AB95" i="1"/>
  <c r="AA95" i="1"/>
  <c r="Y95" i="1"/>
  <c r="W95" i="1"/>
  <c r="AB94" i="1"/>
  <c r="AA94" i="1"/>
  <c r="Y94" i="1"/>
  <c r="W94" i="1"/>
  <c r="AB93" i="1"/>
  <c r="AA93" i="1"/>
  <c r="Y93" i="1"/>
  <c r="W93" i="1"/>
  <c r="P90" i="1"/>
  <c r="AC90" i="1"/>
  <c r="O90" i="1"/>
  <c r="AB90" i="1"/>
  <c r="N90" i="1"/>
  <c r="AA90" i="1"/>
  <c r="H90" i="1"/>
  <c r="Y90" i="1"/>
  <c r="G90" i="1"/>
  <c r="X90" i="1"/>
  <c r="F90" i="1"/>
  <c r="W90" i="1"/>
  <c r="P89" i="1"/>
  <c r="AC89" i="1"/>
  <c r="O89" i="1"/>
  <c r="AB89" i="1"/>
  <c r="N89" i="1"/>
  <c r="AA89" i="1"/>
  <c r="H89" i="1"/>
  <c r="Y89" i="1"/>
  <c r="G89" i="1"/>
  <c r="X89" i="1"/>
  <c r="F89" i="1"/>
  <c r="W89" i="1"/>
  <c r="P88" i="1"/>
  <c r="AC88" i="1"/>
  <c r="O88" i="1"/>
  <c r="AB88" i="1"/>
  <c r="N88" i="1"/>
  <c r="AA88" i="1"/>
  <c r="H88" i="1"/>
  <c r="Y88" i="1"/>
  <c r="G88" i="1"/>
  <c r="X88" i="1"/>
  <c r="F88" i="1"/>
  <c r="W88" i="1"/>
  <c r="P87" i="1"/>
  <c r="AC87" i="1"/>
  <c r="O87" i="1"/>
  <c r="AB87" i="1"/>
  <c r="N87" i="1"/>
  <c r="AA87" i="1"/>
  <c r="H87" i="1"/>
  <c r="Y87" i="1"/>
  <c r="G87" i="1"/>
  <c r="X87" i="1"/>
  <c r="F87" i="1"/>
  <c r="W87" i="1"/>
  <c r="AB86" i="1"/>
  <c r="AD86" i="1"/>
  <c r="Y86" i="1"/>
  <c r="X86" i="1"/>
  <c r="AB85" i="1"/>
  <c r="AD85" i="1"/>
  <c r="Y85" i="1"/>
  <c r="X85" i="1"/>
  <c r="AB84" i="1"/>
  <c r="AD84" i="1"/>
  <c r="Y84" i="1"/>
  <c r="X84" i="1"/>
  <c r="AB83" i="1"/>
  <c r="AD83" i="1"/>
  <c r="Y83" i="1"/>
  <c r="X83" i="1"/>
  <c r="P82" i="1"/>
  <c r="AC82" i="1"/>
  <c r="O82" i="1"/>
  <c r="AB82" i="1"/>
  <c r="N82" i="1"/>
  <c r="AA82" i="1"/>
  <c r="H82" i="1"/>
  <c r="Y82" i="1"/>
  <c r="G82" i="1"/>
  <c r="X82" i="1"/>
  <c r="F82" i="1"/>
  <c r="W82" i="1"/>
  <c r="P81" i="1"/>
  <c r="AC81" i="1"/>
  <c r="O81" i="1"/>
  <c r="AB81" i="1"/>
  <c r="N81" i="1"/>
  <c r="AA81" i="1"/>
  <c r="H81" i="1"/>
  <c r="Y81" i="1"/>
  <c r="G81" i="1"/>
  <c r="X81" i="1"/>
  <c r="F81" i="1"/>
  <c r="W81" i="1"/>
  <c r="P80" i="1"/>
  <c r="AC80" i="1"/>
  <c r="O80" i="1"/>
  <c r="AB80" i="1"/>
  <c r="N80" i="1"/>
  <c r="AA80" i="1"/>
  <c r="H80" i="1"/>
  <c r="Y80" i="1"/>
  <c r="G80" i="1"/>
  <c r="X80" i="1"/>
  <c r="F80" i="1"/>
  <c r="W80" i="1"/>
  <c r="P79" i="1"/>
  <c r="AC79" i="1"/>
  <c r="O79" i="1"/>
  <c r="AB79" i="1"/>
  <c r="N79" i="1"/>
  <c r="AA79" i="1"/>
  <c r="H79" i="1"/>
  <c r="Y79" i="1"/>
  <c r="G79" i="1"/>
  <c r="X79" i="1"/>
  <c r="F79" i="1"/>
  <c r="W79" i="1"/>
  <c r="P77" i="1"/>
  <c r="AC77" i="1"/>
  <c r="O77" i="1"/>
  <c r="AB77" i="1"/>
  <c r="N77" i="1"/>
  <c r="AA77" i="1"/>
  <c r="H77" i="1"/>
  <c r="Y77" i="1"/>
  <c r="G77" i="1"/>
  <c r="X77" i="1"/>
  <c r="F77" i="1"/>
  <c r="W77" i="1"/>
  <c r="P76" i="1"/>
  <c r="AC76" i="1"/>
  <c r="O76" i="1"/>
  <c r="AB76" i="1"/>
  <c r="N76" i="1"/>
  <c r="AA76" i="1"/>
  <c r="H76" i="1"/>
  <c r="Y76" i="1"/>
  <c r="G76" i="1"/>
  <c r="X76" i="1"/>
  <c r="Z76" i="1"/>
  <c r="F76" i="1"/>
  <c r="W76" i="1"/>
  <c r="P75" i="1"/>
  <c r="AC75" i="1"/>
  <c r="O75" i="1"/>
  <c r="AB75" i="1"/>
  <c r="N75" i="1"/>
  <c r="AA75" i="1"/>
  <c r="H75" i="1"/>
  <c r="Y75" i="1"/>
  <c r="G75" i="1"/>
  <c r="X75" i="1"/>
  <c r="F75" i="1"/>
  <c r="W75" i="1"/>
  <c r="P74" i="1"/>
  <c r="AC74" i="1"/>
  <c r="O74" i="1"/>
  <c r="AB74" i="1"/>
  <c r="N74" i="1"/>
  <c r="AA74" i="1"/>
  <c r="H74" i="1"/>
  <c r="Y74" i="1"/>
  <c r="G74" i="1"/>
  <c r="X74" i="1"/>
  <c r="F74" i="1"/>
  <c r="W74" i="1"/>
  <c r="X73" i="1"/>
  <c r="Z73" i="1"/>
  <c r="X72" i="1"/>
  <c r="Z72" i="1"/>
  <c r="X71" i="1"/>
  <c r="Z71" i="1"/>
  <c r="X70" i="1"/>
  <c r="Z70" i="1"/>
  <c r="AA64" i="1"/>
  <c r="AD64" i="1"/>
  <c r="Z64" i="1"/>
  <c r="Y64" i="1"/>
  <c r="AA63" i="1"/>
  <c r="AD63" i="1"/>
  <c r="Y63" i="1"/>
  <c r="Z63" i="1"/>
  <c r="AA62" i="1"/>
  <c r="AD62" i="1"/>
  <c r="Y62" i="1"/>
  <c r="Z62" i="1"/>
  <c r="AA61" i="1"/>
  <c r="AD61" i="1"/>
  <c r="Y61" i="1"/>
  <c r="Z61" i="1"/>
  <c r="AC60" i="1"/>
  <c r="AD60" i="1"/>
  <c r="AC59" i="1"/>
  <c r="AD59" i="1"/>
  <c r="AC58" i="1"/>
  <c r="AD58" i="1"/>
  <c r="AC57" i="1"/>
  <c r="AD57" i="1"/>
  <c r="AC56" i="1"/>
  <c r="AB56" i="1"/>
  <c r="AA56" i="1"/>
  <c r="Y56" i="1"/>
  <c r="X56" i="1"/>
  <c r="W56" i="1"/>
  <c r="AC55" i="1"/>
  <c r="AB55" i="1"/>
  <c r="AD55" i="1"/>
  <c r="AA55" i="1"/>
  <c r="Y55" i="1"/>
  <c r="X55" i="1"/>
  <c r="W55" i="1"/>
  <c r="AC54" i="1"/>
  <c r="AB54" i="1"/>
  <c r="AA54" i="1"/>
  <c r="Y54" i="1"/>
  <c r="X54" i="1"/>
  <c r="W54" i="1"/>
  <c r="AC53" i="1"/>
  <c r="AB53" i="1"/>
  <c r="AD53" i="1"/>
  <c r="AA53" i="1"/>
  <c r="Y53" i="1"/>
  <c r="X53" i="1"/>
  <c r="W53" i="1"/>
  <c r="AC52" i="1"/>
  <c r="AD52" i="1"/>
  <c r="AC51" i="1"/>
  <c r="AD51" i="1"/>
  <c r="AC50" i="1"/>
  <c r="AD50" i="1"/>
  <c r="AD49" i="1"/>
  <c r="AC49" i="1"/>
  <c r="AC48" i="1"/>
  <c r="AB48" i="1"/>
  <c r="AD48" i="1"/>
  <c r="AC47" i="1"/>
  <c r="AB47" i="1"/>
  <c r="AC46" i="1"/>
  <c r="AB46" i="1"/>
  <c r="AD46" i="1"/>
  <c r="AC45" i="1"/>
  <c r="AB45" i="1"/>
  <c r="AB44" i="1"/>
  <c r="AD44" i="1"/>
  <c r="AB43" i="1"/>
  <c r="AD43" i="1"/>
  <c r="AB42" i="1"/>
  <c r="AD42" i="1"/>
  <c r="AB41" i="1"/>
  <c r="AD41" i="1"/>
  <c r="AC40" i="1"/>
  <c r="AB40" i="1"/>
  <c r="AD40" i="1"/>
  <c r="Y40" i="1"/>
  <c r="Z40" i="1"/>
  <c r="AC39" i="1"/>
  <c r="AB39" i="1"/>
  <c r="Y39" i="1"/>
  <c r="Z39" i="1"/>
  <c r="AC38" i="1"/>
  <c r="AB38" i="1"/>
  <c r="Y38" i="1"/>
  <c r="Z38" i="1"/>
  <c r="AC37" i="1"/>
  <c r="AB37" i="1"/>
  <c r="Y37" i="1"/>
  <c r="Z37" i="1"/>
  <c r="W36" i="1"/>
  <c r="P36" i="1"/>
  <c r="AC36" i="1"/>
  <c r="AD36" i="1"/>
  <c r="H36" i="1"/>
  <c r="Y36" i="1"/>
  <c r="F36" i="1"/>
  <c r="W35" i="1"/>
  <c r="P35" i="1"/>
  <c r="AC35" i="1"/>
  <c r="AD35" i="1"/>
  <c r="H35" i="1"/>
  <c r="Y35" i="1"/>
  <c r="F35" i="1"/>
  <c r="W34" i="1"/>
  <c r="P34" i="1"/>
  <c r="AC34" i="1"/>
  <c r="AD34" i="1"/>
  <c r="H34" i="1"/>
  <c r="Y34" i="1"/>
  <c r="F34" i="1"/>
  <c r="W33" i="1"/>
  <c r="P33" i="1"/>
  <c r="AC33" i="1"/>
  <c r="AD33" i="1"/>
  <c r="H33" i="1"/>
  <c r="Y33" i="1"/>
  <c r="F33" i="1"/>
  <c r="P32" i="1"/>
  <c r="AC32" i="1"/>
  <c r="N32" i="1"/>
  <c r="AA32" i="1"/>
  <c r="AD32" i="1"/>
  <c r="H32" i="1"/>
  <c r="Y32" i="1"/>
  <c r="G32" i="1"/>
  <c r="X32" i="1"/>
  <c r="Z32" i="1"/>
  <c r="P31" i="1"/>
  <c r="AC31" i="1"/>
  <c r="N31" i="1"/>
  <c r="AA31" i="1"/>
  <c r="H31" i="1"/>
  <c r="Y31" i="1"/>
  <c r="G31" i="1"/>
  <c r="X31" i="1"/>
  <c r="Z31" i="1"/>
  <c r="P30" i="1"/>
  <c r="AC30" i="1"/>
  <c r="N30" i="1"/>
  <c r="AA30" i="1"/>
  <c r="H30" i="1"/>
  <c r="Y30" i="1"/>
  <c r="G30" i="1"/>
  <c r="X30" i="1"/>
  <c r="P29" i="1"/>
  <c r="AC29" i="1"/>
  <c r="N29" i="1"/>
  <c r="AA29" i="1"/>
  <c r="H29" i="1"/>
  <c r="Y29" i="1"/>
  <c r="G29" i="1"/>
  <c r="X29" i="1"/>
  <c r="Z29" i="1"/>
  <c r="O28" i="1"/>
  <c r="AB28" i="1"/>
  <c r="AD28" i="1"/>
  <c r="O27" i="1"/>
  <c r="AB27" i="1"/>
  <c r="AD27" i="1"/>
  <c r="O26" i="1"/>
  <c r="AB26" i="1"/>
  <c r="AD26" i="1"/>
  <c r="O25" i="1"/>
  <c r="AB25" i="1"/>
  <c r="AD25" i="1"/>
  <c r="AC24" i="1"/>
  <c r="AB24" i="1"/>
  <c r="AA24" i="1"/>
  <c r="Y24" i="1"/>
  <c r="X24" i="1"/>
  <c r="W24" i="1"/>
  <c r="AC23" i="1"/>
  <c r="AB23" i="1"/>
  <c r="AA23" i="1"/>
  <c r="Y23" i="1"/>
  <c r="X23" i="1"/>
  <c r="W23" i="1"/>
  <c r="AC22" i="1"/>
  <c r="AB22" i="1"/>
  <c r="AA22" i="1"/>
  <c r="Y22" i="1"/>
  <c r="X22" i="1"/>
  <c r="W22" i="1"/>
  <c r="AC21" i="1"/>
  <c r="AB21" i="1"/>
  <c r="AA21" i="1"/>
  <c r="Y21" i="1"/>
  <c r="X21" i="1"/>
  <c r="W21" i="1"/>
  <c r="AC20" i="1"/>
  <c r="AB20" i="1"/>
  <c r="AA20" i="1"/>
  <c r="Y20" i="1"/>
  <c r="X20" i="1"/>
  <c r="W20" i="1"/>
  <c r="AC19" i="1"/>
  <c r="AB19" i="1"/>
  <c r="AA19" i="1"/>
  <c r="Y19" i="1"/>
  <c r="X19" i="1"/>
  <c r="W19" i="1"/>
  <c r="AC18" i="1"/>
  <c r="AB18" i="1"/>
  <c r="AA18" i="1"/>
  <c r="Y18" i="1"/>
  <c r="X18" i="1"/>
  <c r="W18" i="1"/>
  <c r="AC17" i="1"/>
  <c r="AB17" i="1"/>
  <c r="AA17" i="1"/>
  <c r="Y17" i="1"/>
  <c r="X17" i="1"/>
  <c r="W17" i="1"/>
  <c r="AB16" i="1"/>
  <c r="P16" i="1"/>
  <c r="AC16" i="1"/>
  <c r="O16" i="1"/>
  <c r="N16" i="1"/>
  <c r="AA16" i="1"/>
  <c r="H16" i="1"/>
  <c r="Y16" i="1"/>
  <c r="G16" i="1"/>
  <c r="X16" i="1"/>
  <c r="F16" i="1"/>
  <c r="W16" i="1"/>
  <c r="P15" i="1"/>
  <c r="AC15" i="1"/>
  <c r="O15" i="1"/>
  <c r="AB15" i="1"/>
  <c r="N15" i="1"/>
  <c r="AA15" i="1"/>
  <c r="H15" i="1"/>
  <c r="Y15" i="1"/>
  <c r="G15" i="1"/>
  <c r="X15" i="1"/>
  <c r="F15" i="1"/>
  <c r="W15" i="1"/>
  <c r="P14" i="1"/>
  <c r="AC14" i="1"/>
  <c r="O14" i="1"/>
  <c r="AB14" i="1"/>
  <c r="N14" i="1"/>
  <c r="AA14" i="1"/>
  <c r="H14" i="1"/>
  <c r="Y14" i="1"/>
  <c r="G14" i="1"/>
  <c r="X14" i="1"/>
  <c r="F14" i="1"/>
  <c r="W14" i="1"/>
  <c r="AA13" i="1"/>
  <c r="P13" i="1"/>
  <c r="AC13" i="1"/>
  <c r="O13" i="1"/>
  <c r="AB13" i="1"/>
  <c r="N13" i="1"/>
  <c r="H13" i="1"/>
  <c r="Y13" i="1"/>
  <c r="G13" i="1"/>
  <c r="X13" i="1"/>
  <c r="F13" i="1"/>
  <c r="W13" i="1"/>
  <c r="AC12" i="1"/>
  <c r="AB12" i="1"/>
  <c r="AA12" i="1"/>
  <c r="Y12" i="1"/>
  <c r="X12" i="1"/>
  <c r="W12" i="1"/>
  <c r="AC11" i="1"/>
  <c r="AB11" i="1"/>
  <c r="AA11" i="1"/>
  <c r="Y11" i="1"/>
  <c r="X11" i="1"/>
  <c r="W11" i="1"/>
  <c r="AC10" i="1"/>
  <c r="AB10" i="1"/>
  <c r="AA10" i="1"/>
  <c r="Y10" i="1"/>
  <c r="X10" i="1"/>
  <c r="W10" i="1"/>
  <c r="AC9" i="1"/>
  <c r="AB9" i="1"/>
  <c r="AA9" i="1"/>
  <c r="Y9" i="1"/>
  <c r="X9" i="1"/>
  <c r="W9" i="1"/>
  <c r="Y8" i="1"/>
  <c r="T8" i="1"/>
  <c r="AC8" i="1"/>
  <c r="S8" i="1"/>
  <c r="AB8" i="1"/>
  <c r="R8" i="1"/>
  <c r="AA8" i="1"/>
  <c r="K8" i="1"/>
  <c r="X8" i="1"/>
  <c r="J8" i="1"/>
  <c r="W8" i="1"/>
  <c r="T7" i="1"/>
  <c r="AC7" i="1"/>
  <c r="S7" i="1"/>
  <c r="AB7" i="1"/>
  <c r="R7" i="1"/>
  <c r="AA7" i="1"/>
  <c r="L7" i="1"/>
  <c r="Y7" i="1"/>
  <c r="K7" i="1"/>
  <c r="X7" i="1"/>
  <c r="J7" i="1"/>
  <c r="W7" i="1"/>
  <c r="T6" i="1"/>
  <c r="AC6" i="1"/>
  <c r="S6" i="1"/>
  <c r="AB6" i="1"/>
  <c r="R6" i="1"/>
  <c r="AA6" i="1"/>
  <c r="L6" i="1"/>
  <c r="Y6" i="1"/>
  <c r="K6" i="1"/>
  <c r="X6" i="1"/>
  <c r="J6" i="1"/>
  <c r="W6" i="1"/>
  <c r="T5" i="1"/>
  <c r="AC5" i="1"/>
  <c r="S5" i="1"/>
  <c r="AB5" i="1"/>
  <c r="R5" i="1"/>
  <c r="AA5" i="1"/>
  <c r="L5" i="1"/>
  <c r="Y5" i="1"/>
  <c r="K5" i="1"/>
  <c r="X5" i="1"/>
  <c r="J5" i="1"/>
  <c r="W5" i="1"/>
  <c r="Z179" i="1"/>
  <c r="Z235" i="1"/>
  <c r="AD247" i="1"/>
  <c r="AD266" i="1"/>
  <c r="X276" i="1"/>
  <c r="W277" i="1"/>
  <c r="AC277" i="1"/>
  <c r="W279" i="1"/>
  <c r="AC279" i="1"/>
  <c r="Y286" i="1"/>
  <c r="AA286" i="1"/>
  <c r="Z302" i="1"/>
  <c r="Z320" i="1"/>
  <c r="AD16" i="1"/>
  <c r="Z86" i="1"/>
  <c r="Z96" i="1"/>
  <c r="AD120" i="1"/>
  <c r="AD124" i="1"/>
  <c r="AD126" i="1"/>
  <c r="AD139" i="1"/>
  <c r="AD155" i="1"/>
  <c r="Z236" i="1"/>
  <c r="AB286" i="1"/>
  <c r="AD313" i="1"/>
  <c r="Z322" i="1"/>
  <c r="Z327" i="1"/>
  <c r="AD361" i="1"/>
  <c r="Z397" i="1"/>
  <c r="AD38" i="1"/>
  <c r="AD95" i="1"/>
  <c r="AD96" i="1"/>
  <c r="Z124" i="1"/>
  <c r="Z126" i="1"/>
  <c r="AD145" i="1"/>
  <c r="AD157" i="1"/>
  <c r="AD191" i="1"/>
  <c r="AD231" i="1"/>
  <c r="AB276" i="1"/>
  <c r="W284" i="1"/>
  <c r="AC284" i="1"/>
  <c r="X286" i="1"/>
  <c r="X288" i="1"/>
  <c r="X289" i="1"/>
  <c r="X290" i="1"/>
  <c r="AD306" i="1"/>
  <c r="Z330" i="1"/>
  <c r="AD366" i="1"/>
  <c r="AD370" i="1"/>
  <c r="AD379" i="1"/>
  <c r="AD380" i="1"/>
  <c r="Z396" i="1"/>
  <c r="Z250" i="1"/>
  <c r="Z5" i="1"/>
  <c r="Z16" i="1"/>
  <c r="AD39" i="1"/>
  <c r="AD76" i="1"/>
  <c r="AD125" i="1"/>
  <c r="AD127" i="1"/>
  <c r="AD10" i="1"/>
  <c r="AD22" i="1"/>
  <c r="AD24" i="1"/>
  <c r="AD29" i="1"/>
  <c r="Z77" i="1"/>
  <c r="Z89" i="1"/>
  <c r="AD94" i="1"/>
  <c r="Z125" i="1"/>
  <c r="Z127" i="1"/>
  <c r="Z147" i="1"/>
  <c r="Z149" i="1"/>
  <c r="Z167" i="1"/>
  <c r="Z178" i="1"/>
  <c r="Z181" i="1"/>
  <c r="Z190" i="1"/>
  <c r="AD195" i="1"/>
  <c r="AD197" i="1"/>
  <c r="AD201" i="1"/>
  <c r="AD202" i="1"/>
  <c r="AD203" i="1"/>
  <c r="W276" i="1"/>
  <c r="AB277" i="1"/>
  <c r="AB278" i="1"/>
  <c r="W286" i="1"/>
  <c r="Z286" i="1"/>
  <c r="AD315" i="1"/>
  <c r="AD378" i="1"/>
  <c r="AD129" i="1"/>
  <c r="AD146" i="1"/>
  <c r="AD148" i="1"/>
  <c r="AD181" i="1"/>
  <c r="Z194" i="1"/>
  <c r="AC288" i="1"/>
  <c r="W290" i="1"/>
  <c r="AC290" i="1"/>
  <c r="Z297" i="1"/>
  <c r="AD329" i="1"/>
  <c r="Z369" i="1"/>
  <c r="Z374" i="1"/>
  <c r="AD391" i="1"/>
  <c r="Z392" i="1"/>
  <c r="AD394" i="1"/>
  <c r="AD14" i="1"/>
  <c r="Z17" i="1"/>
  <c r="Z19" i="1"/>
  <c r="Z21" i="1"/>
  <c r="AD115" i="1"/>
  <c r="AD116" i="1"/>
  <c r="Z130" i="1"/>
  <c r="AD143" i="1"/>
  <c r="Z146" i="1"/>
  <c r="Z148" i="1"/>
  <c r="AD199" i="1"/>
  <c r="AD207" i="1"/>
  <c r="AD232" i="1"/>
  <c r="Z255" i="1"/>
  <c r="Z257" i="1"/>
  <c r="AA277" i="1"/>
  <c r="Y278" i="1"/>
  <c r="AA278" i="1"/>
  <c r="AA279" i="1"/>
  <c r="AA284" i="1"/>
  <c r="Y285" i="1"/>
  <c r="AA285" i="1"/>
  <c r="Y287" i="1"/>
  <c r="Z287" i="1"/>
  <c r="Y288" i="1"/>
  <c r="AA288" i="1"/>
  <c r="AD288" i="1"/>
  <c r="Y290" i="1"/>
  <c r="AA290" i="1"/>
  <c r="X291" i="1"/>
  <c r="AD295" i="1"/>
  <c r="AD354" i="1"/>
  <c r="AD356" i="1"/>
  <c r="AD360" i="1"/>
  <c r="AD365" i="1"/>
  <c r="AD367" i="1"/>
  <c r="AD374" i="1"/>
  <c r="AD393" i="1"/>
  <c r="AD6" i="1"/>
  <c r="AD5" i="1"/>
  <c r="AD7" i="1"/>
  <c r="Z8" i="1"/>
  <c r="Z10" i="1"/>
  <c r="Z12" i="1"/>
  <c r="AD90" i="1"/>
  <c r="AD131" i="1"/>
  <c r="AD11" i="1"/>
  <c r="Z14" i="1"/>
  <c r="AD75" i="1"/>
  <c r="AD137" i="1"/>
  <c r="AD167" i="1"/>
  <c r="Z168" i="1"/>
  <c r="AD194" i="1"/>
  <c r="Z7" i="1"/>
  <c r="AD190" i="1"/>
  <c r="AD9" i="1"/>
  <c r="AD8" i="1"/>
  <c r="Z9" i="1"/>
  <c r="Z11" i="1"/>
  <c r="Z13" i="1"/>
  <c r="AD13" i="1"/>
  <c r="Z15" i="1"/>
  <c r="AD15" i="1"/>
  <c r="AD18" i="1"/>
  <c r="AD20" i="1"/>
  <c r="AD89" i="1"/>
  <c r="Z129" i="1"/>
  <c r="AD135" i="1"/>
  <c r="AD141" i="1"/>
  <c r="AD178" i="1"/>
  <c r="Z18" i="1"/>
  <c r="Z20" i="1"/>
  <c r="Z22" i="1"/>
  <c r="Z24" i="1"/>
  <c r="Z53" i="1"/>
  <c r="Z55" i="1"/>
  <c r="Z74" i="1"/>
  <c r="AD74" i="1"/>
  <c r="Z75" i="1"/>
  <c r="AD82" i="1"/>
  <c r="Z83" i="1"/>
  <c r="AD98" i="1"/>
  <c r="Z98" i="1"/>
  <c r="AD100" i="1"/>
  <c r="Z100" i="1"/>
  <c r="AD102" i="1"/>
  <c r="Z102" i="1"/>
  <c r="AD104" i="1"/>
  <c r="Z104" i="1"/>
  <c r="AD106" i="1"/>
  <c r="Z106" i="1"/>
  <c r="AD108" i="1"/>
  <c r="Z108" i="1"/>
  <c r="Z115" i="1"/>
  <c r="AD117" i="1"/>
  <c r="Z128" i="1"/>
  <c r="AD128" i="1"/>
  <c r="AD134" i="1"/>
  <c r="AD138" i="1"/>
  <c r="AD142" i="1"/>
  <c r="Z166" i="1"/>
  <c r="Z169" i="1"/>
  <c r="AD180" i="1"/>
  <c r="AD12" i="1"/>
  <c r="AD17" i="1"/>
  <c r="AD19" i="1"/>
  <c r="AD21" i="1"/>
  <c r="AD23" i="1"/>
  <c r="AD31" i="1"/>
  <c r="Z33" i="1"/>
  <c r="Z34" i="1"/>
  <c r="Z35" i="1"/>
  <c r="Z36" i="1"/>
  <c r="AD45" i="1"/>
  <c r="AD47" i="1"/>
  <c r="AD54" i="1"/>
  <c r="AD56" i="1"/>
  <c r="AD80" i="1"/>
  <c r="Z81" i="1"/>
  <c r="AD81" i="1"/>
  <c r="Z82" i="1"/>
  <c r="AD88" i="1"/>
  <c r="Z94" i="1"/>
  <c r="Z95" i="1"/>
  <c r="AD114" i="1"/>
  <c r="AD156" i="1"/>
  <c r="AD159" i="1"/>
  <c r="AD160" i="1"/>
  <c r="AD161" i="1"/>
  <c r="AD179" i="1"/>
  <c r="Z180" i="1"/>
  <c r="Z188" i="1"/>
  <c r="AD188" i="1"/>
  <c r="AD189" i="1"/>
  <c r="Z192" i="1"/>
  <c r="AD192" i="1"/>
  <c r="AD193" i="1"/>
  <c r="Z240" i="1"/>
  <c r="AD320" i="1"/>
  <c r="AD357" i="1"/>
  <c r="Z23" i="1"/>
  <c r="AD37" i="1"/>
  <c r="Z54" i="1"/>
  <c r="Z56" i="1"/>
  <c r="AD77" i="1"/>
  <c r="AD79" i="1"/>
  <c r="Z80" i="1"/>
  <c r="Z84" i="1"/>
  <c r="Z85" i="1"/>
  <c r="AD87" i="1"/>
  <c r="Z88" i="1"/>
  <c r="AD93" i="1"/>
  <c r="Z113" i="1"/>
  <c r="Z114" i="1"/>
  <c r="Z116" i="1"/>
  <c r="AD119" i="1"/>
  <c r="AD130" i="1"/>
  <c r="AD136" i="1"/>
  <c r="AD140" i="1"/>
  <c r="AD144" i="1"/>
  <c r="AD154" i="1"/>
  <c r="AD196" i="1"/>
  <c r="AD204" i="1"/>
  <c r="AD205" i="1"/>
  <c r="AD255" i="1"/>
  <c r="AD257" i="1"/>
  <c r="X278" i="1"/>
  <c r="Z304" i="1"/>
  <c r="Z307" i="1"/>
  <c r="AD390" i="1"/>
  <c r="Z393" i="1"/>
  <c r="AD265" i="1"/>
  <c r="AB279" i="1"/>
  <c r="AD279" i="1"/>
  <c r="AD281" i="1"/>
  <c r="Z299" i="1"/>
  <c r="Z300" i="1"/>
  <c r="AD327" i="1"/>
  <c r="Z329" i="1"/>
  <c r="Z372" i="1"/>
  <c r="AD372" i="1"/>
  <c r="AD206" i="1"/>
  <c r="AD233" i="1"/>
  <c r="Z238" i="1"/>
  <c r="Z242" i="1"/>
  <c r="Z248" i="1"/>
  <c r="AD248" i="1"/>
  <c r="AD256" i="1"/>
  <c r="AD258" i="1"/>
  <c r="Y276" i="1"/>
  <c r="X277" i="1"/>
  <c r="X279" i="1"/>
  <c r="AD283" i="1"/>
  <c r="X284" i="1"/>
  <c r="AB288" i="1"/>
  <c r="W289" i="1"/>
  <c r="AB290" i="1"/>
  <c r="W291" i="1"/>
  <c r="Z305" i="1"/>
  <c r="AD314" i="1"/>
  <c r="Z328" i="1"/>
  <c r="AD363" i="1"/>
  <c r="AD364" i="1"/>
  <c r="AD368" i="1"/>
  <c r="Z370" i="1"/>
  <c r="AD371" i="1"/>
  <c r="Z380" i="1"/>
  <c r="AD200" i="1"/>
  <c r="Z237" i="1"/>
  <c r="Z239" i="1"/>
  <c r="Z241" i="1"/>
  <c r="AD249" i="1"/>
  <c r="Z256" i="1"/>
  <c r="Z258" i="1"/>
  <c r="Y277" i="1"/>
  <c r="Z277" i="1"/>
  <c r="W278" i="1"/>
  <c r="Z278" i="1"/>
  <c r="AC278" i="1"/>
  <c r="AD278" i="1"/>
  <c r="Y279" i="1"/>
  <c r="Z280" i="1"/>
  <c r="Y284" i="1"/>
  <c r="X285" i="1"/>
  <c r="AC286" i="1"/>
  <c r="AD286" i="1"/>
  <c r="AA287" i="1"/>
  <c r="W288" i="1"/>
  <c r="Z288" i="1"/>
  <c r="Y289" i="1"/>
  <c r="AA289" i="1"/>
  <c r="AD289" i="1"/>
  <c r="Y291" i="1"/>
  <c r="AA291" i="1"/>
  <c r="AD291" i="1"/>
  <c r="AD292" i="1"/>
  <c r="AD312" i="1"/>
  <c r="Z323" i="1"/>
  <c r="AD355" i="1"/>
  <c r="Z368" i="1"/>
  <c r="AD369" i="1"/>
  <c r="AD377" i="1"/>
  <c r="Z6" i="1"/>
  <c r="AD103" i="1"/>
  <c r="Z90" i="1"/>
  <c r="AD97" i="1"/>
  <c r="AD99" i="1"/>
  <c r="AD101" i="1"/>
  <c r="AD105" i="1"/>
  <c r="AD107" i="1"/>
  <c r="Z30" i="1"/>
  <c r="AD30" i="1"/>
  <c r="Z79" i="1"/>
  <c r="Z87" i="1"/>
  <c r="Z97" i="1"/>
  <c r="Z99" i="1"/>
  <c r="Z101" i="1"/>
  <c r="Z103" i="1"/>
  <c r="Z105" i="1"/>
  <c r="Z107" i="1"/>
  <c r="Z189" i="1"/>
  <c r="Z191" i="1"/>
  <c r="Z193" i="1"/>
  <c r="Z195" i="1"/>
  <c r="Z249" i="1"/>
  <c r="Z281" i="1"/>
  <c r="Z290" i="1"/>
  <c r="Z306" i="1"/>
  <c r="Z154" i="1"/>
  <c r="Z155" i="1"/>
  <c r="Z156" i="1"/>
  <c r="Z157" i="1"/>
  <c r="AD168" i="1"/>
  <c r="AD234" i="1"/>
  <c r="Z289" i="1"/>
  <c r="Z131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AD166" i="1"/>
  <c r="AD263" i="1"/>
  <c r="AD302" i="1"/>
  <c r="Z93" i="1"/>
  <c r="AD113" i="1"/>
  <c r="AD169" i="1"/>
  <c r="Z247" i="1"/>
  <c r="AC276" i="1"/>
  <c r="AD276" i="1"/>
  <c r="AD280" i="1"/>
  <c r="AD282" i="1"/>
  <c r="W285" i="1"/>
  <c r="Z285" i="1"/>
  <c r="AD304" i="1"/>
  <c r="AD264" i="1"/>
  <c r="Z282" i="1"/>
  <c r="Z283" i="1"/>
  <c r="AD294" i="1"/>
  <c r="Z296" i="1"/>
  <c r="AD300" i="1"/>
  <c r="Z303" i="1"/>
  <c r="AB284" i="1"/>
  <c r="AD284" i="1"/>
  <c r="AD287" i="1"/>
  <c r="Z301" i="1"/>
  <c r="Z389" i="1"/>
  <c r="AD373" i="1"/>
  <c r="AD389" i="1"/>
  <c r="Z391" i="1"/>
  <c r="AD285" i="1"/>
  <c r="AD293" i="1"/>
  <c r="AD301" i="1"/>
  <c r="AD303" i="1"/>
  <c r="AD305" i="1"/>
  <c r="AD307" i="1"/>
  <c r="Z312" i="1"/>
  <c r="Z313" i="1"/>
  <c r="Z314" i="1"/>
  <c r="Z315" i="1"/>
  <c r="Z373" i="1"/>
  <c r="Z394" i="1"/>
  <c r="AD395" i="1"/>
  <c r="AD321" i="1"/>
  <c r="Z390" i="1"/>
  <c r="Z321" i="1"/>
  <c r="AD323" i="1"/>
  <c r="AD330" i="1"/>
  <c r="Z371" i="1"/>
  <c r="AD388" i="1"/>
  <c r="Z388" i="1"/>
  <c r="Z398" i="1"/>
  <c r="Z399" i="1"/>
  <c r="AD277" i="1"/>
  <c r="AD290" i="1"/>
  <c r="Z279" i="1"/>
  <c r="Z291" i="1"/>
  <c r="Z284" i="1"/>
  <c r="Z276" i="1"/>
</calcChain>
</file>

<file path=xl/sharedStrings.xml><?xml version="1.0" encoding="utf-8"?>
<sst xmlns="http://schemas.openxmlformats.org/spreadsheetml/2006/main" count="2789" uniqueCount="142">
  <si>
    <t>RNA Seq</t>
  </si>
  <si>
    <t>H2O2</t>
  </si>
  <si>
    <t>Tunicamycin</t>
  </si>
  <si>
    <t>Rep1</t>
  </si>
  <si>
    <t>Rep2</t>
  </si>
  <si>
    <t>Rep3</t>
  </si>
  <si>
    <t>Enzyme</t>
  </si>
  <si>
    <t>Exon</t>
  </si>
  <si>
    <t>AS pattern</t>
  </si>
  <si>
    <t>Abbr pattern</t>
  </si>
  <si>
    <t>Time Point</t>
  </si>
  <si>
    <t>Variant 1 (Mean) Raw</t>
  </si>
  <si>
    <t>Variant 2 (Mean) Raw</t>
  </si>
  <si>
    <t>Isoform annotated on IGV (hg19)</t>
  </si>
  <si>
    <t>Notes</t>
  </si>
  <si>
    <t>V2/(V1+V2)</t>
  </si>
  <si>
    <t>AVERAGE</t>
  </si>
  <si>
    <t>present in both H2O2 and TM</t>
  </si>
  <si>
    <t>present only in H2O2</t>
  </si>
  <si>
    <t>present only in TM</t>
  </si>
  <si>
    <t>present in 6 all replicates</t>
  </si>
  <si>
    <t>only 1 read total</t>
  </si>
  <si>
    <t>CARS</t>
  </si>
  <si>
    <t>Exon Skipping</t>
  </si>
  <si>
    <t>SE</t>
  </si>
  <si>
    <t>0h</t>
  </si>
  <si>
    <t>y</t>
  </si>
  <si>
    <t>Exon retained: NM_001014437; NR_036542; NM_001194997</t>
  </si>
  <si>
    <t>1h</t>
  </si>
  <si>
    <t>4h</t>
  </si>
  <si>
    <t>8h</t>
  </si>
  <si>
    <t>Alt. 5' end</t>
  </si>
  <si>
    <t>A5SS</t>
  </si>
  <si>
    <t>Longer Exon: NR_036542</t>
  </si>
  <si>
    <t>n</t>
  </si>
  <si>
    <t>no variant in IGV (hg19)</t>
  </si>
  <si>
    <t>Alt. 3' end</t>
  </si>
  <si>
    <t>A3SS</t>
  </si>
  <si>
    <t>Longer Exon: NM_139273; NM_001194997</t>
  </si>
  <si>
    <t>IARS</t>
  </si>
  <si>
    <t>Longer Exon: NM_013417</t>
  </si>
  <si>
    <t xml:space="preserve">Exon Skipping </t>
  </si>
  <si>
    <t>NA</t>
  </si>
  <si>
    <t>0</t>
  </si>
  <si>
    <t>2-22</t>
  </si>
  <si>
    <t>no variant in IGV (hg19); read spans to middle of exon 22</t>
  </si>
  <si>
    <t xml:space="preserve"> </t>
  </si>
  <si>
    <t>Skipped Exon: NR_073446</t>
  </si>
  <si>
    <t>one incident (IARS)</t>
  </si>
  <si>
    <t>4-6</t>
  </si>
  <si>
    <t>Rep3 Tuni</t>
  </si>
  <si>
    <t>Rep1 H2O2</t>
  </si>
  <si>
    <t>19-22</t>
  </si>
  <si>
    <t>Rep2 H2O2</t>
  </si>
  <si>
    <t>Rep1 Tuni</t>
  </si>
  <si>
    <t>VARS</t>
  </si>
  <si>
    <t>one incident (VARS)</t>
  </si>
  <si>
    <t>Rep3 H2O2</t>
  </si>
  <si>
    <t>MARS</t>
  </si>
  <si>
    <t>2-5</t>
  </si>
  <si>
    <t>one incident (MARS)</t>
  </si>
  <si>
    <t>LARS</t>
  </si>
  <si>
    <t>one incident (LARS)</t>
  </si>
  <si>
    <t>5-6</t>
  </si>
  <si>
    <t>Rep2 Tuni</t>
  </si>
  <si>
    <t>SARS</t>
  </si>
  <si>
    <t>MXE</t>
  </si>
  <si>
    <t>NR_034072 (Alternative Exon)</t>
  </si>
  <si>
    <t>9-10</t>
  </si>
  <si>
    <t>one incident (SARS)</t>
  </si>
  <si>
    <t>HARS</t>
  </si>
  <si>
    <t>NM_001258042, NM_001258040 (spliced out)</t>
  </si>
  <si>
    <t>3-5</t>
  </si>
  <si>
    <t>4-5</t>
  </si>
  <si>
    <t>NM_001258042, NM_001258041 (shorter Exon)</t>
  </si>
  <si>
    <t>QARS</t>
  </si>
  <si>
    <t>NR_073590 (short Exon)</t>
  </si>
  <si>
    <t>Alt. 3' end (2)</t>
  </si>
  <si>
    <t>one incident (QARS)</t>
  </si>
  <si>
    <t>11-12</t>
  </si>
  <si>
    <t>15-17</t>
  </si>
  <si>
    <t>KARS</t>
  </si>
  <si>
    <t>NM_001130089 (Exon retained)</t>
  </si>
  <si>
    <t>3-14</t>
  </si>
  <si>
    <t>Junction for Exon 15 shifted by 4 bases, MAPQ mostly high</t>
  </si>
  <si>
    <t>one incident (KARS)</t>
  </si>
  <si>
    <t>2-4</t>
  </si>
  <si>
    <t>4-7</t>
  </si>
  <si>
    <t>YARS</t>
  </si>
  <si>
    <t>one incident (YARS)</t>
  </si>
  <si>
    <t>RARS</t>
  </si>
  <si>
    <t>2-3</t>
  </si>
  <si>
    <t>one incident (RARS)</t>
  </si>
  <si>
    <t>3-9</t>
  </si>
  <si>
    <t>NARS</t>
  </si>
  <si>
    <t>GARS      one incident</t>
  </si>
  <si>
    <t>WARS</t>
  </si>
  <si>
    <t>1a</t>
  </si>
  <si>
    <t>NM_213646, NM_004184 (shorter gene)</t>
  </si>
  <si>
    <t>1b</t>
  </si>
  <si>
    <t>NM_213646, NM_213645</t>
  </si>
  <si>
    <t>TARS</t>
  </si>
  <si>
    <t>Exon Skipping (new)</t>
  </si>
  <si>
    <t>NM_001258438 (additional)</t>
  </si>
  <si>
    <t>NM_001258438 (skipped)</t>
  </si>
  <si>
    <t>one incident (TARS)</t>
  </si>
  <si>
    <t>6-9</t>
  </si>
  <si>
    <t>EPRS</t>
  </si>
  <si>
    <t>one incident (EPRS)</t>
  </si>
  <si>
    <t>5-9</t>
  </si>
  <si>
    <t>DARS</t>
  </si>
  <si>
    <t>6-7</t>
  </si>
  <si>
    <t>one incident (DARS)</t>
  </si>
  <si>
    <t>AARS</t>
  </si>
  <si>
    <t>one incident (AARS)</t>
  </si>
  <si>
    <t>17-19</t>
  </si>
  <si>
    <t>FARSA</t>
  </si>
  <si>
    <t>one incident (FARSA)</t>
  </si>
  <si>
    <t>FARSB</t>
  </si>
  <si>
    <t>one incident (FARSB)</t>
  </si>
  <si>
    <t>%</t>
  </si>
  <si>
    <t># Patterns</t>
  </si>
  <si>
    <t>Abbreviations</t>
  </si>
  <si>
    <t>Rep</t>
  </si>
  <si>
    <t>Replicate</t>
  </si>
  <si>
    <t>AS</t>
  </si>
  <si>
    <t>Alternative Splicing</t>
  </si>
  <si>
    <t>Alternative 3' end</t>
  </si>
  <si>
    <t>Alternative 5' end</t>
  </si>
  <si>
    <t>yes</t>
  </si>
  <si>
    <t xml:space="preserve">n </t>
  </si>
  <si>
    <t>no</t>
  </si>
  <si>
    <t>AAtRS</t>
  </si>
  <si>
    <t>aminoacyl-tRNA synthetase</t>
  </si>
  <si>
    <t>IGV</t>
  </si>
  <si>
    <t>Integrative Genomics Viewer</t>
  </si>
  <si>
    <t>V</t>
  </si>
  <si>
    <t>Variant</t>
  </si>
  <si>
    <t>Tuni, TM</t>
  </si>
  <si>
    <t>3a</t>
  </si>
  <si>
    <t>3b</t>
  </si>
  <si>
    <t>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</si>
</sst>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00"/>
    <numFmt numFmtId="165" formatCode="0.0000"/>
    <numFmt numFmtId="166" formatCode="0.0000000"/>
    <numFmt numFmtId="167" formatCode="0.0"/>
  </numFmts>
  <fonts count="4">
    <font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34"/>
      <scheme val="minor"/>
    </font>
    <font>
      <sz val="12"/>
      <color rgb="FF000000"/>
      <name val="Calibri"/>
      <family val="2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</fills>
  <borders count="2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9">
    <xf numFmtId="0" fontId="0" fillId="0" borderId="0" xfId="0"/>
    <xf numFmtId="0" fontId="2" fillId="0" borderId="1" xfId="0" applyFont="1" applyFill="1" applyBorder="1"/>
    <xf numFmtId="0" fontId="0" fillId="0" borderId="2" xfId="0" applyFill="1" applyBorder="1" applyAlignment="1">
      <alignment horizontal="right"/>
    </xf>
    <xf numFmtId="0" fontId="0" fillId="0" borderId="3" xfId="0" applyFill="1" applyBorder="1"/>
    <xf numFmtId="0" fontId="0" fillId="0" borderId="0" xfId="0" applyFill="1" applyBorder="1"/>
    <xf numFmtId="2" fontId="0" fillId="0" borderId="0" xfId="0" applyNumberFormat="1" applyFont="1" applyFill="1" applyBorder="1"/>
    <xf numFmtId="2" fontId="0" fillId="0" borderId="0" xfId="0" applyNumberFormat="1" applyFill="1" applyBorder="1"/>
    <xf numFmtId="0" fontId="0" fillId="0" borderId="0" xfId="0" applyNumberFormat="1" applyFill="1" applyBorder="1"/>
    <xf numFmtId="0" fontId="0" fillId="0" borderId="0" xfId="0" applyNumberFormat="1" applyFont="1" applyFill="1" applyBorder="1"/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0" fontId="0" fillId="0" borderId="0" xfId="0" applyNumberFormat="1" applyBorder="1"/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2" xfId="0" applyFill="1" applyBorder="1"/>
    <xf numFmtId="0" fontId="2" fillId="3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0" fillId="2" borderId="0" xfId="0" applyNumberFormat="1" applyFill="1" applyBorder="1"/>
    <xf numFmtId="165" fontId="0" fillId="4" borderId="0" xfId="0" applyNumberFormat="1" applyFill="1" applyBorder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/>
    <xf numFmtId="0" fontId="2" fillId="0" borderId="0" xfId="0" applyFont="1" applyBorder="1"/>
    <xf numFmtId="2" fontId="2" fillId="0" borderId="2" xfId="0" applyNumberFormat="1" applyFont="1" applyBorder="1"/>
    <xf numFmtId="2" fontId="2" fillId="0" borderId="1" xfId="0" applyNumberFormat="1" applyFont="1" applyBorder="1"/>
    <xf numFmtId="2" fontId="2" fillId="0" borderId="0" xfId="0" applyNumberFormat="1" applyFont="1" applyBorder="1"/>
    <xf numFmtId="2" fontId="2" fillId="3" borderId="0" xfId="0" applyNumberFormat="1" applyFont="1" applyFill="1" applyBorder="1"/>
    <xf numFmtId="2" fontId="2" fillId="0" borderId="3" xfId="0" applyNumberFormat="1" applyFont="1" applyBorder="1"/>
    <xf numFmtId="0" fontId="2" fillId="0" borderId="2" xfId="0" applyFont="1" applyBorder="1"/>
    <xf numFmtId="2" fontId="2" fillId="0" borderId="1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1" xfId="0" applyFont="1" applyBorder="1"/>
    <xf numFmtId="165" fontId="2" fillId="0" borderId="0" xfId="0" applyNumberFormat="1" applyFont="1" applyBorder="1"/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Font="1" applyFill="1" applyBorder="1"/>
    <xf numFmtId="0" fontId="0" fillId="0" borderId="5" xfId="0" applyFill="1" applyBorder="1" applyAlignment="1">
      <alignment horizontal="right"/>
    </xf>
    <xf numFmtId="0" fontId="0" fillId="0" borderId="5" xfId="0" applyFill="1" applyBorder="1"/>
    <xf numFmtId="0" fontId="0" fillId="0" borderId="6" xfId="0" applyFill="1" applyBorder="1"/>
    <xf numFmtId="2" fontId="0" fillId="0" borderId="5" xfId="0" applyNumberFormat="1" applyFont="1" applyFill="1" applyBorder="1"/>
    <xf numFmtId="2" fontId="0" fillId="0" borderId="4" xfId="0" applyNumberFormat="1" applyFont="1" applyFill="1" applyBorder="1"/>
    <xf numFmtId="2" fontId="0" fillId="0" borderId="6" xfId="0" applyNumberFormat="1" applyFont="1" applyFill="1" applyBorder="1"/>
    <xf numFmtId="2" fontId="0" fillId="0" borderId="5" xfId="0" applyNumberFormat="1" applyFill="1" applyBorder="1"/>
    <xf numFmtId="2" fontId="0" fillId="0" borderId="7" xfId="0" applyNumberFormat="1" applyFill="1" applyBorder="1"/>
    <xf numFmtId="2" fontId="0" fillId="0" borderId="4" xfId="0" applyNumberFormat="1" applyFont="1" applyFill="1" applyBorder="1" applyAlignment="1">
      <alignment horizontal="center"/>
    </xf>
    <xf numFmtId="0" fontId="0" fillId="3" borderId="3" xfId="0" applyFill="1" applyBorder="1"/>
    <xf numFmtId="0" fontId="0" fillId="3" borderId="2" xfId="0" applyFill="1" applyBorder="1"/>
    <xf numFmtId="0" fontId="0" fillId="3" borderId="1" xfId="0" applyFill="1" applyBorder="1"/>
    <xf numFmtId="165" fontId="0" fillId="3" borderId="0" xfId="0" applyNumberFormat="1" applyFill="1" applyBorder="1"/>
    <xf numFmtId="0" fontId="0" fillId="3" borderId="0" xfId="0" applyFill="1" applyBorder="1"/>
    <xf numFmtId="165" fontId="0" fillId="0" borderId="0" xfId="0" applyNumberFormat="1" applyFill="1" applyBorder="1"/>
    <xf numFmtId="0" fontId="0" fillId="0" borderId="5" xfId="0" applyNumberFormat="1" applyFill="1" applyBorder="1" applyAlignment="1">
      <alignment horizontal="center"/>
    </xf>
    <xf numFmtId="0" fontId="0" fillId="0" borderId="6" xfId="0" applyNumberFormat="1" applyFill="1" applyBorder="1" applyAlignment="1">
      <alignment horizontal="center"/>
    </xf>
    <xf numFmtId="2" fontId="0" fillId="0" borderId="2" xfId="0" applyNumberFormat="1" applyFont="1" applyFill="1" applyBorder="1"/>
    <xf numFmtId="2" fontId="0" fillId="0" borderId="1" xfId="0" applyNumberFormat="1" applyFont="1" applyFill="1" applyBorder="1"/>
    <xf numFmtId="2" fontId="0" fillId="0" borderId="2" xfId="0" applyNumberFormat="1" applyFill="1" applyBorder="1"/>
    <xf numFmtId="2" fontId="0" fillId="0" borderId="3" xfId="0" applyNumberFormat="1" applyFill="1" applyBorder="1"/>
    <xf numFmtId="2" fontId="0" fillId="0" borderId="1" xfId="0" applyNumberFormat="1" applyFon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2" fillId="0" borderId="8" xfId="0" applyFont="1" applyFill="1" applyBorder="1"/>
    <xf numFmtId="0" fontId="0" fillId="0" borderId="9" xfId="0" applyFill="1" applyBorder="1" applyAlignment="1">
      <alignment horizontal="right"/>
    </xf>
    <xf numFmtId="0" fontId="0" fillId="0" borderId="9" xfId="0" applyFill="1" applyBorder="1"/>
    <xf numFmtId="0" fontId="0" fillId="0" borderId="10" xfId="0" applyFill="1" applyBorder="1"/>
    <xf numFmtId="2" fontId="0" fillId="0" borderId="9" xfId="0" applyNumberFormat="1" applyFont="1" applyFill="1" applyBorder="1"/>
    <xf numFmtId="2" fontId="0" fillId="0" borderId="8" xfId="0" applyNumberFormat="1" applyFont="1" applyFill="1" applyBorder="1"/>
    <xf numFmtId="2" fontId="0" fillId="0" borderId="10" xfId="0" applyNumberFormat="1" applyFont="1" applyFill="1" applyBorder="1"/>
    <xf numFmtId="2" fontId="0" fillId="0" borderId="9" xfId="0" applyNumberFormat="1" applyFill="1" applyBorder="1"/>
    <xf numFmtId="2" fontId="0" fillId="0" borderId="11" xfId="0" applyNumberFormat="1" applyFill="1" applyBorder="1"/>
    <xf numFmtId="2" fontId="0" fillId="0" borderId="8" xfId="0" applyNumberFormat="1" applyFont="1" applyFill="1" applyBorder="1" applyAlignment="1">
      <alignment horizontal="center"/>
    </xf>
    <xf numFmtId="0" fontId="0" fillId="3" borderId="11" xfId="0" applyFill="1" applyBorder="1"/>
    <xf numFmtId="0" fontId="0" fillId="3" borderId="9" xfId="0" applyFill="1" applyBorder="1"/>
    <xf numFmtId="0" fontId="0" fillId="3" borderId="8" xfId="0" applyFill="1" applyBorder="1"/>
    <xf numFmtId="165" fontId="0" fillId="3" borderId="9" xfId="0" applyNumberFormat="1" applyFill="1" applyBorder="1"/>
    <xf numFmtId="0" fontId="0" fillId="3" borderId="10" xfId="0" applyFill="1" applyBorder="1"/>
    <xf numFmtId="165" fontId="0" fillId="0" borderId="9" xfId="0" applyNumberFormat="1" applyFill="1" applyBorder="1"/>
    <xf numFmtId="0" fontId="0" fillId="0" borderId="9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2" fontId="0" fillId="3" borderId="2" xfId="0" applyNumberFormat="1" applyFont="1" applyFill="1" applyBorder="1"/>
    <xf numFmtId="2" fontId="0" fillId="3" borderId="1" xfId="0" applyNumberFormat="1" applyFont="1" applyFill="1" applyBorder="1"/>
    <xf numFmtId="2" fontId="0" fillId="3" borderId="0" xfId="0" applyNumberFormat="1" applyFont="1" applyFill="1" applyBorder="1"/>
    <xf numFmtId="2" fontId="0" fillId="3" borderId="2" xfId="0" applyNumberFormat="1" applyFill="1" applyBorder="1"/>
    <xf numFmtId="2" fontId="0" fillId="3" borderId="3" xfId="0" applyNumberFormat="1" applyFill="1" applyBorder="1"/>
    <xf numFmtId="2" fontId="0" fillId="3" borderId="1" xfId="0" applyNumberFormat="1" applyFont="1" applyFill="1" applyBorder="1" applyAlignment="1">
      <alignment horizontal="center"/>
    </xf>
    <xf numFmtId="0" fontId="0" fillId="3" borderId="2" xfId="0" applyNumberFormat="1" applyFill="1" applyBorder="1" applyAlignment="1">
      <alignment horizontal="center"/>
    </xf>
    <xf numFmtId="0" fontId="0" fillId="3" borderId="0" xfId="0" applyNumberFormat="1" applyFill="1" applyBorder="1" applyAlignment="1">
      <alignment horizontal="center"/>
    </xf>
    <xf numFmtId="2" fontId="0" fillId="3" borderId="9" xfId="0" applyNumberFormat="1" applyFont="1" applyFill="1" applyBorder="1"/>
    <xf numFmtId="2" fontId="0" fillId="3" borderId="8" xfId="0" applyNumberFormat="1" applyFont="1" applyFill="1" applyBorder="1"/>
    <xf numFmtId="2" fontId="0" fillId="3" borderId="10" xfId="0" applyNumberFormat="1" applyFont="1" applyFill="1" applyBorder="1"/>
    <xf numFmtId="2" fontId="0" fillId="3" borderId="9" xfId="0" applyNumberFormat="1" applyFill="1" applyBorder="1"/>
    <xf numFmtId="2" fontId="0" fillId="3" borderId="11" xfId="0" applyNumberFormat="1" applyFill="1" applyBorder="1"/>
    <xf numFmtId="2" fontId="0" fillId="3" borderId="8" xfId="0" applyNumberFormat="1" applyFont="1" applyFill="1" applyBorder="1" applyAlignment="1">
      <alignment horizontal="center"/>
    </xf>
    <xf numFmtId="0" fontId="0" fillId="3" borderId="9" xfId="0" applyNumberFormat="1" applyFill="1" applyBorder="1" applyAlignment="1">
      <alignment horizontal="center"/>
    </xf>
    <xf numFmtId="0" fontId="0" fillId="3" borderId="10" xfId="0" applyNumberFormat="1" applyFill="1" applyBorder="1" applyAlignment="1">
      <alignment horizontal="center"/>
    </xf>
    <xf numFmtId="0" fontId="2" fillId="0" borderId="12" xfId="0" applyFont="1" applyFill="1" applyBorder="1"/>
    <xf numFmtId="0" fontId="0" fillId="0" borderId="13" xfId="0" applyFill="1" applyBorder="1" applyAlignment="1">
      <alignment horizontal="right"/>
    </xf>
    <xf numFmtId="0" fontId="0" fillId="0" borderId="13" xfId="0" applyFill="1" applyBorder="1"/>
    <xf numFmtId="0" fontId="0" fillId="3" borderId="14" xfId="0" applyFill="1" applyBorder="1"/>
    <xf numFmtId="2" fontId="0" fillId="3" borderId="13" xfId="0" applyNumberFormat="1" applyFont="1" applyFill="1" applyBorder="1"/>
    <xf numFmtId="2" fontId="0" fillId="3" borderId="12" xfId="0" applyNumberFormat="1" applyFont="1" applyFill="1" applyBorder="1"/>
    <xf numFmtId="2" fontId="0" fillId="3" borderId="14" xfId="0" applyNumberFormat="1" applyFont="1" applyFill="1" applyBorder="1"/>
    <xf numFmtId="2" fontId="0" fillId="3" borderId="13" xfId="0" applyNumberFormat="1" applyFill="1" applyBorder="1"/>
    <xf numFmtId="2" fontId="0" fillId="3" borderId="15" xfId="0" applyNumberFormat="1" applyFill="1" applyBorder="1"/>
    <xf numFmtId="0" fontId="0" fillId="3" borderId="13" xfId="0" applyFill="1" applyBorder="1"/>
    <xf numFmtId="2" fontId="0" fillId="3" borderId="12" xfId="0" applyNumberFormat="1" applyFont="1" applyFill="1" applyBorder="1" applyAlignment="1">
      <alignment horizontal="center"/>
    </xf>
    <xf numFmtId="0" fontId="0" fillId="3" borderId="15" xfId="0" applyFill="1" applyBorder="1"/>
    <xf numFmtId="0" fontId="0" fillId="3" borderId="12" xfId="0" applyFill="1" applyBorder="1"/>
    <xf numFmtId="0" fontId="0" fillId="3" borderId="13" xfId="0" applyNumberFormat="1" applyFill="1" applyBorder="1" applyAlignment="1">
      <alignment horizontal="center"/>
    </xf>
    <xf numFmtId="0" fontId="0" fillId="3" borderId="14" xfId="0" applyNumberFormat="1" applyFill="1" applyBorder="1" applyAlignment="1">
      <alignment horizontal="center"/>
    </xf>
    <xf numFmtId="0" fontId="0" fillId="0" borderId="11" xfId="0" applyFill="1" applyBorder="1"/>
    <xf numFmtId="166" fontId="0" fillId="3" borderId="10" xfId="0" applyNumberFormat="1" applyFill="1" applyBorder="1"/>
    <xf numFmtId="0" fontId="0" fillId="0" borderId="2" xfId="0" applyFill="1" applyBorder="1" applyAlignment="1">
      <alignment wrapText="1"/>
    </xf>
    <xf numFmtId="0" fontId="0" fillId="3" borderId="0" xfId="0" quotePrefix="1" applyFill="1" applyBorder="1" applyAlignment="1">
      <alignment horizontal="right"/>
    </xf>
    <xf numFmtId="2" fontId="0" fillId="3" borderId="2" xfId="0" quotePrefix="1" applyNumberFormat="1" applyFont="1" applyFill="1" applyBorder="1" applyAlignment="1">
      <alignment horizontal="right"/>
    </xf>
    <xf numFmtId="0" fontId="0" fillId="3" borderId="1" xfId="0" quotePrefix="1" applyFont="1" applyFill="1" applyBorder="1" applyAlignment="1">
      <alignment horizontal="right"/>
    </xf>
    <xf numFmtId="0" fontId="0" fillId="3" borderId="0" xfId="0" quotePrefix="1" applyFont="1" applyFill="1" applyBorder="1" applyAlignment="1">
      <alignment horizontal="right"/>
    </xf>
    <xf numFmtId="2" fontId="0" fillId="3" borderId="2" xfId="0" quotePrefix="1" applyNumberFormat="1" applyFill="1" applyBorder="1" applyAlignment="1">
      <alignment horizontal="right"/>
    </xf>
    <xf numFmtId="2" fontId="0" fillId="3" borderId="0" xfId="0" quotePrefix="1" applyNumberFormat="1" applyFont="1" applyFill="1" applyBorder="1" applyAlignment="1">
      <alignment horizontal="right"/>
    </xf>
    <xf numFmtId="0" fontId="0" fillId="3" borderId="3" xfId="0" quotePrefix="1" applyFill="1" applyBorder="1" applyAlignment="1">
      <alignment horizontal="right"/>
    </xf>
    <xf numFmtId="0" fontId="0" fillId="3" borderId="2" xfId="0" quotePrefix="1" applyFill="1" applyBorder="1" applyAlignment="1">
      <alignment horizontal="right"/>
    </xf>
    <xf numFmtId="0" fontId="0" fillId="3" borderId="2" xfId="0" quotePrefix="1" applyFont="1" applyFill="1" applyBorder="1" applyAlignment="1">
      <alignment horizontal="right"/>
    </xf>
    <xf numFmtId="0" fontId="0" fillId="3" borderId="1" xfId="0" quotePrefix="1" applyFont="1" applyFill="1" applyBorder="1" applyAlignment="1">
      <alignment horizontal="center"/>
    </xf>
    <xf numFmtId="165" fontId="0" fillId="3" borderId="5" xfId="0" applyNumberFormat="1" applyFill="1" applyBorder="1"/>
    <xf numFmtId="166" fontId="0" fillId="3" borderId="0" xfId="0" quotePrefix="1" applyNumberFormat="1" applyFont="1" applyFill="1" applyBorder="1" applyAlignment="1">
      <alignment horizontal="right"/>
    </xf>
    <xf numFmtId="165" fontId="0" fillId="3" borderId="2" xfId="0" applyNumberFormat="1" applyFill="1" applyBorder="1"/>
    <xf numFmtId="0" fontId="0" fillId="3" borderId="10" xfId="0" quotePrefix="1" applyFill="1" applyBorder="1" applyAlignment="1">
      <alignment horizontal="right"/>
    </xf>
    <xf numFmtId="2" fontId="0" fillId="3" borderId="9" xfId="0" quotePrefix="1" applyNumberFormat="1" applyFont="1" applyFill="1" applyBorder="1" applyAlignment="1">
      <alignment horizontal="right"/>
    </xf>
    <xf numFmtId="0" fontId="0" fillId="3" borderId="8" xfId="0" quotePrefix="1" applyFont="1" applyFill="1" applyBorder="1" applyAlignment="1">
      <alignment horizontal="right"/>
    </xf>
    <xf numFmtId="0" fontId="0" fillId="3" borderId="10" xfId="0" quotePrefix="1" applyFont="1" applyFill="1" applyBorder="1" applyAlignment="1">
      <alignment horizontal="right"/>
    </xf>
    <xf numFmtId="2" fontId="0" fillId="3" borderId="9" xfId="0" quotePrefix="1" applyNumberFormat="1" applyFill="1" applyBorder="1" applyAlignment="1">
      <alignment horizontal="right"/>
    </xf>
    <xf numFmtId="2" fontId="0" fillId="3" borderId="10" xfId="0" quotePrefix="1" applyNumberFormat="1" applyFont="1" applyFill="1" applyBorder="1" applyAlignment="1">
      <alignment horizontal="right"/>
    </xf>
    <xf numFmtId="0" fontId="0" fillId="3" borderId="11" xfId="0" quotePrefix="1" applyFill="1" applyBorder="1" applyAlignment="1">
      <alignment horizontal="right"/>
    </xf>
    <xf numFmtId="0" fontId="0" fillId="3" borderId="9" xfId="0" quotePrefix="1" applyFill="1" applyBorder="1" applyAlignment="1">
      <alignment horizontal="right"/>
    </xf>
    <xf numFmtId="0" fontId="0" fillId="3" borderId="9" xfId="0" quotePrefix="1" applyFont="1" applyFill="1" applyBorder="1" applyAlignment="1">
      <alignment horizontal="right"/>
    </xf>
    <xf numFmtId="0" fontId="0" fillId="3" borderId="8" xfId="0" quotePrefix="1" applyFont="1" applyFill="1" applyBorder="1" applyAlignment="1">
      <alignment horizontal="center"/>
    </xf>
    <xf numFmtId="166" fontId="0" fillId="3" borderId="10" xfId="0" quotePrefix="1" applyNumberFormat="1" applyFont="1" applyFill="1" applyBorder="1" applyAlignment="1">
      <alignment horizontal="right"/>
    </xf>
    <xf numFmtId="20" fontId="0" fillId="0" borderId="2" xfId="0" quotePrefix="1" applyNumberFormat="1" applyFill="1" applyBorder="1" applyAlignment="1">
      <alignment horizontal="right"/>
    </xf>
    <xf numFmtId="0" fontId="0" fillId="0" borderId="0" xfId="0" quotePrefix="1" applyFill="1" applyBorder="1" applyAlignment="1">
      <alignment horizontal="right"/>
    </xf>
    <xf numFmtId="2" fontId="0" fillId="0" borderId="2" xfId="0" quotePrefix="1" applyNumberFormat="1" applyFill="1" applyBorder="1" applyAlignment="1">
      <alignment horizontal="right"/>
    </xf>
    <xf numFmtId="0" fontId="0" fillId="0" borderId="2" xfId="0" quotePrefix="1" applyFill="1" applyBorder="1" applyAlignment="1">
      <alignment horizontal="right"/>
    </xf>
    <xf numFmtId="0" fontId="0" fillId="0" borderId="0" xfId="0" quotePrefix="1" applyFont="1" applyFill="1" applyBorder="1" applyAlignment="1">
      <alignment horizontal="right"/>
    </xf>
    <xf numFmtId="0" fontId="0" fillId="0" borderId="10" xfId="0" quotePrefix="1" applyFill="1" applyBorder="1" applyAlignment="1">
      <alignment horizontal="right"/>
    </xf>
    <xf numFmtId="2" fontId="0" fillId="0" borderId="9" xfId="0" quotePrefix="1" applyNumberFormat="1" applyFill="1" applyBorder="1" applyAlignment="1">
      <alignment horizontal="right"/>
    </xf>
    <xf numFmtId="0" fontId="0" fillId="0" borderId="9" xfId="0" quotePrefix="1" applyFill="1" applyBorder="1" applyAlignment="1">
      <alignment horizontal="right"/>
    </xf>
    <xf numFmtId="0" fontId="0" fillId="0" borderId="10" xfId="0" quotePrefix="1" applyFont="1" applyFill="1" applyBorder="1" applyAlignment="1">
      <alignment horizontal="right"/>
    </xf>
    <xf numFmtId="2" fontId="0" fillId="3" borderId="1" xfId="0" quotePrefix="1" applyNumberFormat="1" applyFont="1" applyFill="1" applyBorder="1" applyAlignment="1">
      <alignment horizontal="right"/>
    </xf>
    <xf numFmtId="2" fontId="0" fillId="3" borderId="1" xfId="0" quotePrefix="1" applyNumberFormat="1" applyFont="1" applyFill="1" applyBorder="1" applyAlignment="1">
      <alignment horizontal="center"/>
    </xf>
    <xf numFmtId="2" fontId="0" fillId="3" borderId="8" xfId="0" quotePrefix="1" applyNumberFormat="1" applyFont="1" applyFill="1" applyBorder="1" applyAlignment="1">
      <alignment horizontal="right"/>
    </xf>
    <xf numFmtId="2" fontId="0" fillId="3" borderId="8" xfId="0" quotePrefix="1" applyNumberFormat="1" applyFont="1" applyFill="1" applyBorder="1" applyAlignment="1">
      <alignment horizontal="center"/>
    </xf>
    <xf numFmtId="2" fontId="0" fillId="0" borderId="2" xfId="0" quotePrefix="1" applyNumberFormat="1" applyFont="1" applyFill="1" applyBorder="1" applyAlignment="1">
      <alignment horizontal="right"/>
    </xf>
    <xf numFmtId="0" fontId="0" fillId="0" borderId="1" xfId="0" quotePrefix="1" applyFont="1" applyFill="1" applyBorder="1" applyAlignment="1">
      <alignment horizontal="right"/>
    </xf>
    <xf numFmtId="2" fontId="0" fillId="0" borderId="0" xfId="0" quotePrefix="1" applyNumberFormat="1" applyFont="1" applyFill="1" applyBorder="1" applyAlignment="1">
      <alignment horizontal="right"/>
    </xf>
    <xf numFmtId="0" fontId="0" fillId="0" borderId="3" xfId="0" quotePrefix="1" applyFill="1" applyBorder="1" applyAlignment="1">
      <alignment horizontal="right"/>
    </xf>
    <xf numFmtId="0" fontId="0" fillId="0" borderId="2" xfId="0" quotePrefix="1" applyFont="1" applyFill="1" applyBorder="1" applyAlignment="1">
      <alignment horizontal="right"/>
    </xf>
    <xf numFmtId="0" fontId="0" fillId="0" borderId="1" xfId="0" quotePrefix="1" applyFont="1" applyFill="1" applyBorder="1" applyAlignment="1">
      <alignment horizontal="center"/>
    </xf>
    <xf numFmtId="2" fontId="0" fillId="0" borderId="9" xfId="0" quotePrefix="1" applyNumberFormat="1" applyFont="1" applyFill="1" applyBorder="1" applyAlignment="1">
      <alignment horizontal="right"/>
    </xf>
    <xf numFmtId="0" fontId="0" fillId="0" borderId="8" xfId="0" quotePrefix="1" applyFont="1" applyFill="1" applyBorder="1" applyAlignment="1">
      <alignment horizontal="right"/>
    </xf>
    <xf numFmtId="2" fontId="0" fillId="0" borderId="10" xfId="0" quotePrefix="1" applyNumberFormat="1" applyFont="1" applyFill="1" applyBorder="1" applyAlignment="1">
      <alignment horizontal="right"/>
    </xf>
    <xf numFmtId="0" fontId="0" fillId="0" borderId="11" xfId="0" quotePrefix="1" applyFill="1" applyBorder="1" applyAlignment="1">
      <alignment horizontal="right"/>
    </xf>
    <xf numFmtId="0" fontId="0" fillId="0" borderId="9" xfId="0" quotePrefix="1" applyFont="1" applyFill="1" applyBorder="1" applyAlignment="1">
      <alignment horizontal="right"/>
    </xf>
    <xf numFmtId="0" fontId="0" fillId="0" borderId="8" xfId="0" quotePrefix="1" applyFont="1" applyFill="1" applyBorder="1" applyAlignment="1">
      <alignment horizontal="center"/>
    </xf>
    <xf numFmtId="2" fontId="0" fillId="0" borderId="1" xfId="0" quotePrefix="1" applyNumberFormat="1" applyFont="1" applyFill="1" applyBorder="1" applyAlignment="1">
      <alignment horizontal="right"/>
    </xf>
    <xf numFmtId="2" fontId="0" fillId="0" borderId="1" xfId="0" quotePrefix="1" applyNumberFormat="1" applyFont="1" applyFill="1" applyBorder="1" applyAlignment="1">
      <alignment horizontal="center"/>
    </xf>
    <xf numFmtId="2" fontId="0" fillId="0" borderId="8" xfId="0" quotePrefix="1" applyNumberFormat="1" applyFont="1" applyFill="1" applyBorder="1" applyAlignment="1">
      <alignment horizontal="right"/>
    </xf>
    <xf numFmtId="2" fontId="0" fillId="0" borderId="8" xfId="0" quotePrefix="1" applyNumberFormat="1" applyFont="1" applyFill="1" applyBorder="1" applyAlignment="1">
      <alignment horizontal="center"/>
    </xf>
    <xf numFmtId="165" fontId="0" fillId="0" borderId="9" xfId="0" applyNumberFormat="1" applyFill="1" applyBorder="1" applyAlignment="1">
      <alignment horizontal="right"/>
    </xf>
    <xf numFmtId="0" fontId="0" fillId="3" borderId="5" xfId="0" quotePrefix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2" fillId="0" borderId="0" xfId="0" quotePrefix="1" applyFont="1" applyFill="1" applyBorder="1" applyAlignment="1">
      <alignment horizontal="right"/>
    </xf>
    <xf numFmtId="0" fontId="0" fillId="5" borderId="0" xfId="0" quotePrefix="1" applyFill="1" applyBorder="1" applyAlignment="1">
      <alignment horizontal="right"/>
    </xf>
    <xf numFmtId="0" fontId="2" fillId="5" borderId="2" xfId="0" applyFont="1" applyFill="1" applyBorder="1"/>
    <xf numFmtId="0" fontId="0" fillId="5" borderId="2" xfId="0" quotePrefix="1" applyFill="1" applyBorder="1" applyAlignment="1">
      <alignment horizontal="right"/>
    </xf>
    <xf numFmtId="2" fontId="2" fillId="5" borderId="1" xfId="0" quotePrefix="1" applyNumberFormat="1" applyFont="1" applyFill="1" applyBorder="1" applyAlignment="1">
      <alignment horizontal="right"/>
    </xf>
    <xf numFmtId="2" fontId="2" fillId="5" borderId="2" xfId="0" applyNumberFormat="1" applyFont="1" applyFill="1" applyBorder="1"/>
    <xf numFmtId="2" fontId="0" fillId="5" borderId="1" xfId="0" applyNumberFormat="1" applyFill="1" applyBorder="1"/>
    <xf numFmtId="2" fontId="2" fillId="5" borderId="0" xfId="0" applyNumberFormat="1" applyFont="1" applyFill="1" applyBorder="1"/>
    <xf numFmtId="0" fontId="0" fillId="5" borderId="2" xfId="0" applyFill="1" applyBorder="1"/>
    <xf numFmtId="2" fontId="2" fillId="5" borderId="1" xfId="0" applyNumberFormat="1" applyFont="1" applyFill="1" applyBorder="1"/>
    <xf numFmtId="2" fontId="0" fillId="5" borderId="0" xfId="0" quotePrefix="1" applyNumberFormat="1" applyFont="1" applyFill="1" applyBorder="1" applyAlignment="1">
      <alignment horizontal="right"/>
    </xf>
    <xf numFmtId="2" fontId="0" fillId="5" borderId="1" xfId="0" quotePrefix="1" applyNumberFormat="1" applyFont="1" applyFill="1" applyBorder="1" applyAlignment="1">
      <alignment horizontal="center"/>
    </xf>
    <xf numFmtId="2" fontId="0" fillId="5" borderId="0" xfId="0" quotePrefix="1" applyNumberFormat="1" applyFill="1" applyBorder="1" applyAlignment="1">
      <alignment horizontal="right"/>
    </xf>
    <xf numFmtId="0" fontId="0" fillId="5" borderId="3" xfId="0" applyFill="1" applyBorder="1"/>
    <xf numFmtId="0" fontId="0" fillId="5" borderId="1" xfId="0" applyFill="1" applyBorder="1"/>
    <xf numFmtId="165" fontId="0" fillId="5" borderId="5" xfId="0" applyNumberFormat="1" applyFill="1" applyBorder="1"/>
    <xf numFmtId="0" fontId="0" fillId="5" borderId="0" xfId="0" applyFill="1" applyBorder="1"/>
    <xf numFmtId="165" fontId="0" fillId="5" borderId="0" xfId="0" applyNumberFormat="1" applyFill="1" applyBorder="1"/>
    <xf numFmtId="0" fontId="0" fillId="5" borderId="2" xfId="0" quotePrefix="1" applyNumberFormat="1" applyFill="1" applyBorder="1" applyAlignment="1">
      <alignment horizontal="center"/>
    </xf>
    <xf numFmtId="0" fontId="2" fillId="5" borderId="0" xfId="0" quotePrefix="1" applyNumberFormat="1" applyFont="1" applyFill="1" applyBorder="1" applyAlignment="1">
      <alignment horizontal="center"/>
    </xf>
    <xf numFmtId="0" fontId="2" fillId="5" borderId="2" xfId="0" applyNumberFormat="1" applyFont="1" applyFill="1" applyBorder="1" applyAlignment="1">
      <alignment horizontal="center"/>
    </xf>
    <xf numFmtId="0" fontId="2" fillId="5" borderId="0" xfId="0" applyNumberFormat="1" applyFont="1" applyFill="1" applyBorder="1" applyAlignment="1">
      <alignment horizontal="center"/>
    </xf>
    <xf numFmtId="0" fontId="0" fillId="5" borderId="2" xfId="0" applyNumberFormat="1" applyFont="1" applyFill="1" applyBorder="1" applyAlignment="1">
      <alignment horizontal="center"/>
    </xf>
    <xf numFmtId="2" fontId="0" fillId="5" borderId="1" xfId="0" applyNumberFormat="1" applyFont="1" applyFill="1" applyBorder="1"/>
    <xf numFmtId="0" fontId="0" fillId="5" borderId="0" xfId="0" quotePrefix="1" applyFont="1" applyFill="1" applyBorder="1" applyAlignment="1">
      <alignment horizontal="right"/>
    </xf>
    <xf numFmtId="0" fontId="0" fillId="5" borderId="1" xfId="0" quotePrefix="1" applyFill="1" applyBorder="1" applyAlignment="1">
      <alignment horizontal="right"/>
    </xf>
    <xf numFmtId="0" fontId="0" fillId="5" borderId="0" xfId="0" applyNumberFormat="1" applyFill="1" applyBorder="1"/>
    <xf numFmtId="0" fontId="2" fillId="0" borderId="0" xfId="0" applyFont="1" applyFill="1" applyBorder="1" applyAlignment="1">
      <alignment horizontal="right"/>
    </xf>
    <xf numFmtId="165" fontId="0" fillId="5" borderId="2" xfId="0" applyNumberFormat="1" applyFill="1" applyBorder="1"/>
    <xf numFmtId="0" fontId="2" fillId="0" borderId="13" xfId="0" applyFont="1" applyFill="1" applyBorder="1" applyAlignment="1">
      <alignment horizontal="right"/>
    </xf>
    <xf numFmtId="0" fontId="0" fillId="0" borderId="13" xfId="0" applyFill="1" applyBorder="1" applyAlignment="1">
      <alignment wrapText="1"/>
    </xf>
    <xf numFmtId="0" fontId="0" fillId="5" borderId="14" xfId="0" quotePrefix="1" applyFill="1" applyBorder="1" applyAlignment="1">
      <alignment horizontal="right"/>
    </xf>
    <xf numFmtId="0" fontId="2" fillId="5" borderId="13" xfId="0" applyFont="1" applyFill="1" applyBorder="1"/>
    <xf numFmtId="0" fontId="0" fillId="5" borderId="13" xfId="0" quotePrefix="1" applyFill="1" applyBorder="1" applyAlignment="1">
      <alignment horizontal="right"/>
    </xf>
    <xf numFmtId="2" fontId="2" fillId="5" borderId="12" xfId="0" quotePrefix="1" applyNumberFormat="1" applyFont="1" applyFill="1" applyBorder="1" applyAlignment="1">
      <alignment horizontal="right"/>
    </xf>
    <xf numFmtId="2" fontId="2" fillId="5" borderId="13" xfId="0" applyNumberFormat="1" applyFont="1" applyFill="1" applyBorder="1"/>
    <xf numFmtId="2" fontId="0" fillId="5" borderId="12" xfId="0" applyNumberFormat="1" applyFill="1" applyBorder="1"/>
    <xf numFmtId="2" fontId="2" fillId="5" borderId="14" xfId="0" applyNumberFormat="1" applyFont="1" applyFill="1" applyBorder="1"/>
    <xf numFmtId="0" fontId="0" fillId="5" borderId="13" xfId="0" applyFill="1" applyBorder="1"/>
    <xf numFmtId="2" fontId="2" fillId="5" borderId="12" xfId="0" applyNumberFormat="1" applyFont="1" applyFill="1" applyBorder="1"/>
    <xf numFmtId="2" fontId="0" fillId="5" borderId="14" xfId="0" quotePrefix="1" applyNumberFormat="1" applyFont="1" applyFill="1" applyBorder="1" applyAlignment="1">
      <alignment horizontal="right"/>
    </xf>
    <xf numFmtId="2" fontId="0" fillId="5" borderId="12" xfId="0" quotePrefix="1" applyNumberFormat="1" applyFont="1" applyFill="1" applyBorder="1" applyAlignment="1">
      <alignment horizontal="center"/>
    </xf>
    <xf numFmtId="2" fontId="0" fillId="5" borderId="14" xfId="0" quotePrefix="1" applyNumberFormat="1" applyFill="1" applyBorder="1" applyAlignment="1">
      <alignment horizontal="right"/>
    </xf>
    <xf numFmtId="0" fontId="0" fillId="5" borderId="15" xfId="0" applyFill="1" applyBorder="1"/>
    <xf numFmtId="0" fontId="0" fillId="5" borderId="12" xfId="0" applyFill="1" applyBorder="1"/>
    <xf numFmtId="165" fontId="0" fillId="5" borderId="9" xfId="0" applyNumberFormat="1" applyFill="1" applyBorder="1"/>
    <xf numFmtId="0" fontId="0" fillId="5" borderId="14" xfId="0" applyFill="1" applyBorder="1"/>
    <xf numFmtId="0" fontId="0" fillId="5" borderId="13" xfId="0" quotePrefix="1" applyNumberFormat="1" applyFill="1" applyBorder="1" applyAlignment="1">
      <alignment horizontal="center"/>
    </xf>
    <xf numFmtId="0" fontId="2" fillId="5" borderId="14" xfId="0" quotePrefix="1" applyNumberFormat="1" applyFont="1" applyFill="1" applyBorder="1" applyAlignment="1">
      <alignment horizontal="center"/>
    </xf>
    <xf numFmtId="0" fontId="2" fillId="5" borderId="13" xfId="0" applyNumberFormat="1" applyFont="1" applyFill="1" applyBorder="1" applyAlignment="1">
      <alignment horizontal="center"/>
    </xf>
    <xf numFmtId="0" fontId="2" fillId="5" borderId="14" xfId="0" applyNumberFormat="1" applyFont="1" applyFill="1" applyBorder="1" applyAlignment="1">
      <alignment horizontal="center"/>
    </xf>
    <xf numFmtId="0" fontId="0" fillId="5" borderId="13" xfId="0" applyNumberFormat="1" applyFont="1" applyFill="1" applyBorder="1" applyAlignment="1">
      <alignment horizontal="center"/>
    </xf>
    <xf numFmtId="2" fontId="0" fillId="5" borderId="12" xfId="0" applyNumberFormat="1" applyFont="1" applyFill="1" applyBorder="1"/>
    <xf numFmtId="0" fontId="0" fillId="5" borderId="14" xfId="0" quotePrefix="1" applyFont="1" applyFill="1" applyBorder="1" applyAlignment="1">
      <alignment horizontal="right"/>
    </xf>
    <xf numFmtId="0" fontId="0" fillId="5" borderId="12" xfId="0" quotePrefix="1" applyFill="1" applyBorder="1" applyAlignment="1">
      <alignment horizontal="right"/>
    </xf>
    <xf numFmtId="0" fontId="0" fillId="5" borderId="14" xfId="0" applyNumberFormat="1" applyFill="1" applyBorder="1"/>
    <xf numFmtId="0" fontId="0" fillId="3" borderId="16" xfId="0" quotePrefix="1" applyFill="1" applyBorder="1" applyAlignment="1">
      <alignment horizontal="right"/>
    </xf>
    <xf numFmtId="0" fontId="2" fillId="0" borderId="17" xfId="0" applyFont="1" applyFill="1" applyBorder="1" applyAlignment="1">
      <alignment wrapText="1"/>
    </xf>
    <xf numFmtId="0" fontId="0" fillId="0" borderId="18" xfId="0" applyFill="1" applyBorder="1" applyAlignment="1">
      <alignment horizontal="right"/>
    </xf>
    <xf numFmtId="0" fontId="0" fillId="0" borderId="18" xfId="0" applyFill="1" applyBorder="1"/>
    <xf numFmtId="0" fontId="2" fillId="5" borderId="18" xfId="0" applyFont="1" applyFill="1" applyBorder="1"/>
    <xf numFmtId="0" fontId="0" fillId="5" borderId="19" xfId="0" applyFill="1" applyBorder="1"/>
    <xf numFmtId="0" fontId="0" fillId="5" borderId="18" xfId="0" applyNumberFormat="1" applyFill="1" applyBorder="1"/>
    <xf numFmtId="2" fontId="2" fillId="5" borderId="18" xfId="0" applyNumberFormat="1" applyFont="1" applyFill="1" applyBorder="1"/>
    <xf numFmtId="2" fontId="2" fillId="5" borderId="17" xfId="0" applyNumberFormat="1" applyFont="1" applyFill="1" applyBorder="1"/>
    <xf numFmtId="2" fontId="0" fillId="5" borderId="19" xfId="0" applyNumberFormat="1" applyFill="1" applyBorder="1"/>
    <xf numFmtId="2" fontId="2" fillId="5" borderId="19" xfId="0" applyNumberFormat="1" applyFont="1" applyFill="1" applyBorder="1"/>
    <xf numFmtId="2" fontId="0" fillId="5" borderId="19" xfId="0" applyNumberFormat="1" applyFont="1" applyFill="1" applyBorder="1"/>
    <xf numFmtId="2" fontId="0" fillId="5" borderId="17" xfId="0" applyNumberFormat="1" applyFont="1" applyFill="1" applyBorder="1" applyAlignment="1">
      <alignment horizontal="center"/>
    </xf>
    <xf numFmtId="0" fontId="0" fillId="5" borderId="20" xfId="0" applyFill="1" applyBorder="1"/>
    <xf numFmtId="0" fontId="0" fillId="5" borderId="18" xfId="0" applyFill="1" applyBorder="1"/>
    <xf numFmtId="0" fontId="0" fillId="5" borderId="17" xfId="0" applyFill="1" applyBorder="1"/>
    <xf numFmtId="165" fontId="0" fillId="5" borderId="21" xfId="0" applyNumberFormat="1" applyFill="1" applyBorder="1"/>
    <xf numFmtId="0" fontId="2" fillId="5" borderId="18" xfId="0" applyNumberFormat="1" applyFont="1" applyFill="1" applyBorder="1" applyAlignment="1">
      <alignment horizontal="center"/>
    </xf>
    <xf numFmtId="0" fontId="2" fillId="5" borderId="19" xfId="0" applyNumberFormat="1" applyFont="1" applyFill="1" applyBorder="1" applyAlignment="1">
      <alignment horizontal="center"/>
    </xf>
    <xf numFmtId="0" fontId="0" fillId="5" borderId="18" xfId="0" applyNumberFormat="1" applyFont="1" applyFill="1" applyBorder="1" applyAlignment="1">
      <alignment horizontal="center"/>
    </xf>
    <xf numFmtId="0" fontId="0" fillId="5" borderId="19" xfId="0" applyNumberFormat="1" applyFill="1" applyBorder="1"/>
    <xf numFmtId="16" fontId="0" fillId="0" borderId="2" xfId="0" quotePrefix="1" applyNumberFormat="1" applyFill="1" applyBorder="1" applyAlignment="1">
      <alignment horizontal="right"/>
    </xf>
    <xf numFmtId="0" fontId="0" fillId="3" borderId="5" xfId="0" applyFill="1" applyBorder="1"/>
    <xf numFmtId="0" fontId="0" fillId="0" borderId="2" xfId="0" applyNumberFormat="1" applyFill="1" applyBorder="1"/>
    <xf numFmtId="0" fontId="0" fillId="0" borderId="9" xfId="0" applyNumberFormat="1" applyFill="1" applyBorder="1"/>
    <xf numFmtId="0" fontId="0" fillId="0" borderId="1" xfId="0" applyFill="1" applyBorder="1" applyAlignment="1">
      <alignment horizontal="right"/>
    </xf>
    <xf numFmtId="2" fontId="0" fillId="5" borderId="2" xfId="0" quotePrefix="1" applyNumberFormat="1" applyFill="1" applyBorder="1" applyAlignment="1">
      <alignment horizontal="right"/>
    </xf>
    <xf numFmtId="2" fontId="0" fillId="5" borderId="1" xfId="0" quotePrefix="1" applyNumberFormat="1" applyFont="1" applyFill="1" applyBorder="1" applyAlignment="1">
      <alignment horizontal="right"/>
    </xf>
    <xf numFmtId="0" fontId="0" fillId="5" borderId="7" xfId="0" applyFill="1" applyBorder="1"/>
    <xf numFmtId="0" fontId="0" fillId="5" borderId="5" xfId="0" applyFill="1" applyBorder="1"/>
    <xf numFmtId="0" fontId="0" fillId="5" borderId="4" xfId="0" applyFill="1" applyBorder="1"/>
    <xf numFmtId="165" fontId="0" fillId="5" borderId="7" xfId="0" applyNumberFormat="1" applyFill="1" applyBorder="1"/>
    <xf numFmtId="0" fontId="0" fillId="5" borderId="6" xfId="0" applyFill="1" applyBorder="1"/>
    <xf numFmtId="165" fontId="0" fillId="5" borderId="4" xfId="0" applyNumberFormat="1" applyFill="1" applyBorder="1"/>
    <xf numFmtId="0" fontId="0" fillId="5" borderId="2" xfId="0" quotePrefix="1" applyNumberFormat="1" applyFont="1" applyFill="1" applyBorder="1" applyAlignment="1">
      <alignment horizontal="center"/>
    </xf>
    <xf numFmtId="0" fontId="2" fillId="5" borderId="1" xfId="0" quotePrefix="1" applyFont="1" applyFill="1" applyBorder="1" applyAlignment="1">
      <alignment horizontal="right"/>
    </xf>
    <xf numFmtId="2" fontId="0" fillId="5" borderId="13" xfId="0" quotePrefix="1" applyNumberFormat="1" applyFill="1" applyBorder="1" applyAlignment="1">
      <alignment horizontal="right"/>
    </xf>
    <xf numFmtId="2" fontId="0" fillId="5" borderId="12" xfId="0" quotePrefix="1" applyNumberFormat="1" applyFont="1" applyFill="1" applyBorder="1" applyAlignment="1">
      <alignment horizontal="right"/>
    </xf>
    <xf numFmtId="165" fontId="0" fillId="5" borderId="11" xfId="0" applyNumberFormat="1" applyFill="1" applyBorder="1"/>
    <xf numFmtId="0" fontId="0" fillId="5" borderId="9" xfId="0" applyFill="1" applyBorder="1"/>
    <xf numFmtId="0" fontId="0" fillId="5" borderId="10" xfId="0" applyFill="1" applyBorder="1"/>
    <xf numFmtId="165" fontId="0" fillId="5" borderId="8" xfId="0" applyNumberFormat="1" applyFill="1" applyBorder="1"/>
    <xf numFmtId="0" fontId="0" fillId="5" borderId="13" xfId="0" quotePrefix="1" applyNumberFormat="1" applyFont="1" applyFill="1" applyBorder="1" applyAlignment="1">
      <alignment horizontal="center"/>
    </xf>
    <xf numFmtId="0" fontId="2" fillId="5" borderId="12" xfId="0" quotePrefix="1" applyFont="1" applyFill="1" applyBorder="1" applyAlignment="1">
      <alignment horizontal="right"/>
    </xf>
    <xf numFmtId="165" fontId="0" fillId="3" borderId="11" xfId="0" applyNumberFormat="1" applyFill="1" applyBorder="1"/>
    <xf numFmtId="165" fontId="0" fillId="0" borderId="8" xfId="0" applyNumberFormat="1" applyFill="1" applyBorder="1"/>
    <xf numFmtId="165" fontId="0" fillId="3" borderId="10" xfId="0" applyNumberFormat="1" applyFill="1" applyBorder="1"/>
    <xf numFmtId="2" fontId="0" fillId="0" borderId="3" xfId="0" quotePrefix="1" applyNumberFormat="1" applyFill="1" applyBorder="1" applyAlignment="1">
      <alignment horizontal="right"/>
    </xf>
    <xf numFmtId="2" fontId="0" fillId="0" borderId="11" xfId="0" quotePrefix="1" applyNumberFormat="1" applyFill="1" applyBorder="1" applyAlignment="1">
      <alignment horizontal="right"/>
    </xf>
    <xf numFmtId="2" fontId="0" fillId="5" borderId="0" xfId="0" applyNumberFormat="1" applyFill="1" applyBorder="1"/>
    <xf numFmtId="2" fontId="0" fillId="5" borderId="0" xfId="0" applyNumberFormat="1" applyFont="1" applyFill="1" applyBorder="1"/>
    <xf numFmtId="2" fontId="0" fillId="5" borderId="1" xfId="0" applyNumberFormat="1" applyFont="1" applyFill="1" applyBorder="1" applyAlignment="1">
      <alignment horizontal="center"/>
    </xf>
    <xf numFmtId="2" fontId="0" fillId="5" borderId="14" xfId="0" applyNumberFormat="1" applyFill="1" applyBorder="1"/>
    <xf numFmtId="2" fontId="0" fillId="5" borderId="14" xfId="0" applyNumberFormat="1" applyFont="1" applyFill="1" applyBorder="1"/>
    <xf numFmtId="2" fontId="0" fillId="5" borderId="12" xfId="0" applyNumberFormat="1" applyFont="1" applyFill="1" applyBorder="1" applyAlignment="1">
      <alignment horizontal="center"/>
    </xf>
    <xf numFmtId="165" fontId="0" fillId="5" borderId="15" xfId="0" applyNumberFormat="1" applyFill="1" applyBorder="1"/>
    <xf numFmtId="165" fontId="0" fillId="5" borderId="12" xfId="0" applyNumberFormat="1" applyFill="1" applyBorder="1"/>
    <xf numFmtId="165" fontId="0" fillId="5" borderId="0" xfId="0" applyNumberFormat="1" applyFont="1" applyFill="1" applyBorder="1"/>
    <xf numFmtId="165" fontId="0" fillId="5" borderId="13" xfId="0" applyNumberFormat="1" applyFill="1" applyBorder="1"/>
    <xf numFmtId="165" fontId="0" fillId="5" borderId="14" xfId="0" applyNumberFormat="1" applyFont="1" applyFill="1" applyBorder="1"/>
    <xf numFmtId="2" fontId="0" fillId="0" borderId="3" xfId="0" applyNumberFormat="1" applyFont="1" applyFill="1" applyBorder="1"/>
    <xf numFmtId="0" fontId="0" fillId="0" borderId="2" xfId="0" applyNumberFormat="1" applyFont="1" applyFill="1" applyBorder="1"/>
    <xf numFmtId="2" fontId="2" fillId="0" borderId="0" xfId="0" applyNumberFormat="1" applyFont="1" applyFill="1" applyBorder="1"/>
    <xf numFmtId="2" fontId="0" fillId="0" borderId="11" xfId="0" applyNumberFormat="1" applyFont="1" applyFill="1" applyBorder="1"/>
    <xf numFmtId="2" fontId="2" fillId="0" borderId="10" xfId="0" applyNumberFormat="1" applyFont="1" applyFill="1" applyBorder="1"/>
    <xf numFmtId="0" fontId="0" fillId="0" borderId="9" xfId="0" applyNumberFormat="1" applyFont="1" applyFill="1" applyBorder="1"/>
    <xf numFmtId="0" fontId="0" fillId="3" borderId="2" xfId="0" applyNumberFormat="1" applyFont="1" applyFill="1" applyBorder="1"/>
    <xf numFmtId="0" fontId="0" fillId="3" borderId="9" xfId="0" applyNumberFormat="1" applyFont="1" applyFill="1" applyBorder="1"/>
    <xf numFmtId="167" fontId="0" fillId="3" borderId="0" xfId="0" applyNumberFormat="1" applyFill="1" applyBorder="1"/>
    <xf numFmtId="167" fontId="0" fillId="3" borderId="10" xfId="0" applyNumberFormat="1" applyFill="1" applyBorder="1"/>
    <xf numFmtId="2" fontId="0" fillId="3" borderId="2" xfId="0" applyNumberFormat="1" applyFont="1" applyFill="1" applyBorder="1" applyAlignment="1">
      <alignment horizontal="right"/>
    </xf>
    <xf numFmtId="2" fontId="0" fillId="3" borderId="9" xfId="0" applyNumberFormat="1" applyFont="1" applyFill="1" applyBorder="1" applyAlignment="1">
      <alignment horizontal="right"/>
    </xf>
    <xf numFmtId="0" fontId="0" fillId="0" borderId="14" xfId="0" applyFill="1" applyBorder="1"/>
    <xf numFmtId="2" fontId="0" fillId="0" borderId="13" xfId="0" applyNumberFormat="1" applyFont="1" applyFill="1" applyBorder="1"/>
    <xf numFmtId="2" fontId="0" fillId="0" borderId="12" xfId="0" applyNumberFormat="1" applyFont="1" applyFill="1" applyBorder="1"/>
    <xf numFmtId="2" fontId="0" fillId="0" borderId="14" xfId="0" applyNumberFormat="1" applyFont="1" applyFill="1" applyBorder="1"/>
    <xf numFmtId="2" fontId="0" fillId="0" borderId="13" xfId="0" applyNumberFormat="1" applyFill="1" applyBorder="1"/>
    <xf numFmtId="2" fontId="0" fillId="0" borderId="15" xfId="0" applyNumberFormat="1" applyFill="1" applyBorder="1"/>
    <xf numFmtId="0" fontId="0" fillId="0" borderId="13" xfId="0" applyNumberFormat="1" applyFill="1" applyBorder="1"/>
    <xf numFmtId="2" fontId="0" fillId="0" borderId="12" xfId="0" applyNumberFormat="1" applyFont="1" applyFill="1" applyBorder="1" applyAlignment="1">
      <alignment horizontal="center"/>
    </xf>
    <xf numFmtId="165" fontId="0" fillId="3" borderId="15" xfId="0" applyNumberFormat="1" applyFill="1" applyBorder="1"/>
    <xf numFmtId="165" fontId="0" fillId="0" borderId="12" xfId="0" applyNumberFormat="1" applyFill="1" applyBorder="1"/>
    <xf numFmtId="0" fontId="0" fillId="0" borderId="13" xfId="0" applyNumberFormat="1" applyFill="1" applyBorder="1" applyAlignment="1">
      <alignment horizontal="center"/>
    </xf>
    <xf numFmtId="0" fontId="0" fillId="0" borderId="14" xfId="0" applyNumberFormat="1" applyFill="1" applyBorder="1" applyAlignment="1">
      <alignment horizontal="center"/>
    </xf>
    <xf numFmtId="0" fontId="0" fillId="3" borderId="2" xfId="0" applyFill="1" applyBorder="1" applyAlignment="1">
      <alignment horizontal="right"/>
    </xf>
    <xf numFmtId="2" fontId="0" fillId="3" borderId="2" xfId="0" applyNumberFormat="1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2" fontId="0" fillId="0" borderId="2" xfId="0" applyNumberFormat="1" applyFill="1" applyBorder="1" applyAlignment="1">
      <alignment horizontal="right"/>
    </xf>
    <xf numFmtId="0" fontId="0" fillId="3" borderId="7" xfId="0" applyFill="1" applyBorder="1"/>
    <xf numFmtId="0" fontId="0" fillId="3" borderId="4" xfId="0" applyFill="1" applyBorder="1"/>
    <xf numFmtId="2" fontId="0" fillId="0" borderId="9" xfId="0" applyNumberForma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2" fontId="0" fillId="5" borderId="2" xfId="0" applyNumberFormat="1" applyFont="1" applyFill="1" applyBorder="1"/>
    <xf numFmtId="2" fontId="0" fillId="5" borderId="2" xfId="0" applyNumberFormat="1" applyFill="1" applyBorder="1"/>
    <xf numFmtId="2" fontId="0" fillId="5" borderId="3" xfId="0" applyNumberFormat="1" applyFill="1" applyBorder="1"/>
    <xf numFmtId="0" fontId="0" fillId="5" borderId="2" xfId="0" applyNumberFormat="1" applyFill="1" applyBorder="1" applyAlignment="1">
      <alignment horizontal="center"/>
    </xf>
    <xf numFmtId="0" fontId="0" fillId="5" borderId="0" xfId="0" applyNumberFormat="1" applyFill="1" applyBorder="1" applyAlignment="1">
      <alignment horizontal="center"/>
    </xf>
    <xf numFmtId="165" fontId="0" fillId="5" borderId="3" xfId="0" applyNumberFormat="1" applyFill="1" applyBorder="1"/>
    <xf numFmtId="165" fontId="0" fillId="5" borderId="1" xfId="0" applyNumberFormat="1" applyFill="1" applyBorder="1"/>
    <xf numFmtId="0" fontId="2" fillId="0" borderId="0" xfId="0" applyFont="1" applyFill="1" applyBorder="1"/>
    <xf numFmtId="0" fontId="0" fillId="0" borderId="1" xfId="0" applyFill="1" applyBorder="1"/>
    <xf numFmtId="0" fontId="0" fillId="0" borderId="15" xfId="0" applyFill="1" applyBorder="1"/>
    <xf numFmtId="2" fontId="0" fillId="5" borderId="13" xfId="0" applyNumberFormat="1" applyFont="1" applyFill="1" applyBorder="1"/>
    <xf numFmtId="2" fontId="0" fillId="5" borderId="13" xfId="0" applyNumberFormat="1" applyFill="1" applyBorder="1"/>
    <xf numFmtId="2" fontId="0" fillId="5" borderId="15" xfId="0" applyNumberFormat="1" applyFill="1" applyBorder="1"/>
    <xf numFmtId="0" fontId="0" fillId="5" borderId="13" xfId="0" applyNumberFormat="1" applyFill="1" applyBorder="1" applyAlignment="1">
      <alignment horizontal="center"/>
    </xf>
    <xf numFmtId="0" fontId="0" fillId="5" borderId="14" xfId="0" applyNumberFormat="1" applyFill="1" applyBorder="1" applyAlignment="1">
      <alignment horizontal="center"/>
    </xf>
    <xf numFmtId="0" fontId="0" fillId="0" borderId="2" xfId="0" applyBorder="1"/>
    <xf numFmtId="2" fontId="0" fillId="0" borderId="2" xfId="0" applyNumberFormat="1" applyFont="1" applyBorder="1"/>
    <xf numFmtId="2" fontId="0" fillId="0" borderId="1" xfId="0" applyNumberFormat="1" applyFont="1" applyBorder="1"/>
    <xf numFmtId="2" fontId="0" fillId="0" borderId="0" xfId="0" applyNumberFormat="1" applyFon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1" xfId="0" applyNumberFormat="1" applyFont="1" applyBorder="1" applyAlignment="1">
      <alignment horizontal="center"/>
    </xf>
    <xf numFmtId="0" fontId="0" fillId="0" borderId="9" xfId="0" applyBorder="1"/>
    <xf numFmtId="2" fontId="0" fillId="0" borderId="9" xfId="0" applyNumberFormat="1" applyFont="1" applyBorder="1"/>
    <xf numFmtId="2" fontId="0" fillId="0" borderId="8" xfId="0" applyNumberFormat="1" applyFont="1" applyBorder="1"/>
    <xf numFmtId="2" fontId="0" fillId="0" borderId="10" xfId="0" applyNumberFormat="1" applyFont="1" applyBorder="1"/>
    <xf numFmtId="2" fontId="0" fillId="0" borderId="9" xfId="0" applyNumberFormat="1" applyBorder="1"/>
    <xf numFmtId="2" fontId="0" fillId="0" borderId="11" xfId="0" applyNumberFormat="1" applyBorder="1"/>
    <xf numFmtId="2" fontId="0" fillId="0" borderId="8" xfId="0" applyNumberFormat="1" applyFont="1" applyBorder="1" applyAlignment="1">
      <alignment horizontal="center"/>
    </xf>
    <xf numFmtId="0" fontId="0" fillId="0" borderId="10" xfId="0" applyBorder="1"/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167" fontId="0" fillId="0" borderId="2" xfId="0" applyNumberFormat="1" applyBorder="1"/>
    <xf numFmtId="167" fontId="0" fillId="0" borderId="2" xfId="0" applyNumberFormat="1" applyFont="1" applyBorder="1"/>
    <xf numFmtId="167" fontId="0" fillId="0" borderId="1" xfId="0" applyNumberFormat="1" applyFont="1" applyBorder="1"/>
    <xf numFmtId="167" fontId="0" fillId="0" borderId="9" xfId="0" applyNumberFormat="1" applyBorder="1"/>
    <xf numFmtId="167" fontId="0" fillId="0" borderId="9" xfId="0" applyNumberFormat="1" applyFont="1" applyBorder="1"/>
    <xf numFmtId="167" fontId="0" fillId="0" borderId="8" xfId="0" applyNumberFormat="1" applyFont="1" applyBorder="1"/>
    <xf numFmtId="0" fontId="3" fillId="6" borderId="2" xfId="0" applyFont="1" applyFill="1" applyBorder="1" applyAlignment="1">
      <alignment horizontal="right"/>
    </xf>
    <xf numFmtId="2" fontId="3" fillId="6" borderId="2" xfId="0" applyNumberFormat="1" applyFont="1" applyFill="1" applyBorder="1" applyAlignment="1">
      <alignment horizontal="right"/>
    </xf>
    <xf numFmtId="2" fontId="3" fillId="6" borderId="9" xfId="0" applyNumberFormat="1" applyFont="1" applyFill="1" applyBorder="1" applyAlignment="1">
      <alignment horizontal="right"/>
    </xf>
    <xf numFmtId="0" fontId="3" fillId="6" borderId="1" xfId="0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2" fontId="3" fillId="6" borderId="8" xfId="0" applyNumberFormat="1" applyFont="1" applyFill="1" applyBorder="1" applyAlignment="1">
      <alignment horizontal="center"/>
    </xf>
    <xf numFmtId="0" fontId="2" fillId="0" borderId="9" xfId="0" applyFont="1" applyFill="1" applyBorder="1"/>
    <xf numFmtId="165" fontId="0" fillId="5" borderId="14" xfId="0" applyNumberFormat="1" applyFill="1" applyBorder="1"/>
    <xf numFmtId="0" fontId="0" fillId="0" borderId="3" xfId="0" applyFill="1" applyBorder="1" applyAlignment="1">
      <alignment horizontal="right"/>
    </xf>
    <xf numFmtId="0" fontId="3" fillId="6" borderId="1" xfId="0" applyFont="1" applyFill="1" applyBorder="1" applyAlignment="1">
      <alignment horizontal="right"/>
    </xf>
    <xf numFmtId="2" fontId="3" fillId="6" borderId="1" xfId="0" applyNumberFormat="1" applyFont="1" applyFill="1" applyBorder="1" applyAlignment="1">
      <alignment horizontal="right"/>
    </xf>
    <xf numFmtId="2" fontId="3" fillId="6" borderId="8" xfId="0" applyNumberFormat="1" applyFont="1" applyFill="1" applyBorder="1" applyAlignment="1">
      <alignment horizontal="right"/>
    </xf>
    <xf numFmtId="2" fontId="3" fillId="6" borderId="13" xfId="0" applyNumberFormat="1" applyFont="1" applyFill="1" applyBorder="1" applyAlignment="1">
      <alignment horizontal="right"/>
    </xf>
    <xf numFmtId="2" fontId="3" fillId="6" borderId="12" xfId="0" applyNumberFormat="1" applyFont="1" applyFill="1" applyBorder="1" applyAlignment="1">
      <alignment horizontal="right"/>
    </xf>
    <xf numFmtId="2" fontId="0" fillId="0" borderId="14" xfId="0" applyNumberFormat="1" applyFont="1" applyBorder="1"/>
    <xf numFmtId="2" fontId="0" fillId="0" borderId="13" xfId="0" applyNumberFormat="1" applyBorder="1"/>
    <xf numFmtId="2" fontId="3" fillId="6" borderId="12" xfId="0" applyNumberFormat="1" applyFont="1" applyFill="1" applyBorder="1" applyAlignment="1">
      <alignment horizontal="center"/>
    </xf>
    <xf numFmtId="0" fontId="0" fillId="0" borderId="14" xfId="0" applyBorder="1"/>
    <xf numFmtId="0" fontId="0" fillId="3" borderId="13" xfId="0" quotePrefix="1" applyFill="1" applyBorder="1" applyAlignment="1">
      <alignment horizontal="right"/>
    </xf>
    <xf numFmtId="0" fontId="0" fillId="0" borderId="13" xfId="0" applyNumberForma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2" fontId="3" fillId="7" borderId="2" xfId="0" applyNumberFormat="1" applyFont="1" applyFill="1" applyBorder="1" applyAlignment="1">
      <alignment horizontal="right"/>
    </xf>
    <xf numFmtId="2" fontId="3" fillId="7" borderId="1" xfId="0" applyNumberFormat="1" applyFont="1" applyFill="1" applyBorder="1" applyAlignment="1">
      <alignment horizontal="right"/>
    </xf>
    <xf numFmtId="2" fontId="3" fillId="7" borderId="3" xfId="0" applyNumberFormat="1" applyFont="1" applyFill="1" applyBorder="1" applyAlignment="1">
      <alignment horizontal="right"/>
    </xf>
    <xf numFmtId="2" fontId="3" fillId="7" borderId="1" xfId="0" applyNumberFormat="1" applyFont="1" applyFill="1" applyBorder="1" applyAlignment="1">
      <alignment horizontal="center"/>
    </xf>
    <xf numFmtId="2" fontId="3" fillId="7" borderId="12" xfId="0" applyNumberFormat="1" applyFont="1" applyFill="1" applyBorder="1" applyAlignment="1">
      <alignment horizontal="right"/>
    </xf>
    <xf numFmtId="2" fontId="3" fillId="7" borderId="13" xfId="0" applyNumberFormat="1" applyFont="1" applyFill="1" applyBorder="1" applyAlignment="1">
      <alignment horizontal="right"/>
    </xf>
    <xf numFmtId="2" fontId="3" fillId="7" borderId="15" xfId="0" applyNumberFormat="1" applyFont="1" applyFill="1" applyBorder="1" applyAlignment="1">
      <alignment horizontal="right"/>
    </xf>
    <xf numFmtId="2" fontId="3" fillId="7" borderId="12" xfId="0" applyNumberFormat="1" applyFont="1" applyFill="1" applyBorder="1" applyAlignment="1">
      <alignment horizontal="center"/>
    </xf>
    <xf numFmtId="165" fontId="0" fillId="0" borderId="11" xfId="0" applyNumberFormat="1" applyFill="1" applyBorder="1"/>
    <xf numFmtId="2" fontId="0" fillId="0" borderId="13" xfId="0" applyNumberFormat="1" applyFont="1" applyBorder="1"/>
    <xf numFmtId="2" fontId="0" fillId="0" borderId="12" xfId="0" applyNumberFormat="1" applyFont="1" applyBorder="1"/>
    <xf numFmtId="2" fontId="0" fillId="0" borderId="15" xfId="0" applyNumberFormat="1" applyBorder="1"/>
    <xf numFmtId="0" fontId="0" fillId="0" borderId="13" xfId="0" applyBorder="1"/>
    <xf numFmtId="2" fontId="0" fillId="0" borderId="12" xfId="0" applyNumberFormat="1" applyFont="1" applyBorder="1" applyAlignment="1">
      <alignment horizontal="center"/>
    </xf>
    <xf numFmtId="0" fontId="3" fillId="0" borderId="0" xfId="0" applyFont="1" applyFill="1"/>
    <xf numFmtId="165" fontId="0" fillId="0" borderId="10" xfId="0" applyNumberFormat="1" applyFill="1" applyBorder="1"/>
    <xf numFmtId="165" fontId="0" fillId="5" borderId="6" xfId="0" applyNumberFormat="1" applyFill="1" applyBorder="1"/>
    <xf numFmtId="0" fontId="0" fillId="0" borderId="13" xfId="0" quotePrefix="1" applyFill="1" applyBorder="1" applyAlignment="1">
      <alignment horizontal="right"/>
    </xf>
    <xf numFmtId="2" fontId="0" fillId="5" borderId="18" xfId="0" applyNumberFormat="1" applyFont="1" applyFill="1" applyBorder="1"/>
    <xf numFmtId="2" fontId="0" fillId="5" borderId="17" xfId="0" applyNumberFormat="1" applyFont="1" applyFill="1" applyBorder="1"/>
    <xf numFmtId="2" fontId="0" fillId="5" borderId="18" xfId="0" applyNumberFormat="1" applyFill="1" applyBorder="1"/>
    <xf numFmtId="2" fontId="0" fillId="5" borderId="20" xfId="0" applyNumberFormat="1" applyFill="1" applyBorder="1"/>
    <xf numFmtId="165" fontId="0" fillId="5" borderId="20" xfId="0" applyNumberFormat="1" applyFill="1" applyBorder="1"/>
    <xf numFmtId="165" fontId="0" fillId="5" borderId="17" xfId="0" applyNumberFormat="1" applyFill="1" applyBorder="1"/>
    <xf numFmtId="0" fontId="0" fillId="5" borderId="18" xfId="0" applyNumberFormat="1" applyFill="1" applyBorder="1" applyAlignment="1">
      <alignment horizontal="center"/>
    </xf>
    <xf numFmtId="0" fontId="0" fillId="5" borderId="19" xfId="0" applyNumberFormat="1" applyFill="1" applyBorder="1" applyAlignment="1">
      <alignment horizontal="center"/>
    </xf>
    <xf numFmtId="0" fontId="2" fillId="0" borderId="8" xfId="0" applyFont="1" applyFill="1" applyBorder="1" applyAlignment="1">
      <alignment wrapText="1"/>
    </xf>
    <xf numFmtId="165" fontId="0" fillId="5" borderId="19" xfId="0" applyNumberFormat="1" applyFill="1" applyBorder="1"/>
    <xf numFmtId="165" fontId="1" fillId="0" borderId="0" xfId="0" applyNumberFormat="1" applyFont="1" applyBorder="1"/>
    <xf numFmtId="2" fontId="1" fillId="0" borderId="2" xfId="0" applyNumberFormat="1" applyFont="1" applyBorder="1" applyAlignment="1">
      <alignment horizontal="center"/>
    </xf>
    <xf numFmtId="0" fontId="0" fillId="0" borderId="3" xfId="0" applyBorder="1"/>
    <xf numFmtId="0" fontId="0" fillId="0" borderId="1" xfId="0" applyBorder="1"/>
    <xf numFmtId="0" fontId="0" fillId="0" borderId="2" xfId="0" applyNumberFormat="1" applyBorder="1"/>
    <xf numFmtId="0" fontId="0" fillId="0" borderId="0" xfId="0" applyFill="1" applyBorder="1" applyAlignment="1">
      <alignment wrapText="1"/>
    </xf>
    <xf numFmtId="0" fontId="1" fillId="0" borderId="0" xfId="0" applyFont="1"/>
    <xf numFmtId="165" fontId="0" fillId="3" borderId="8" xfId="0" applyNumberFormat="1" applyFill="1" applyBorder="1"/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403"/>
  <sheetViews>
    <sheetView tabSelected="1" zoomScale="59" zoomScaleNormal="59" zoomScalePageLayoutView="75" workbookViewId="0">
      <pane xSplit="5" ySplit="4" topLeftCell="P270" activePane="bottomRight" state="frozen"/>
      <selection pane="topRight" activeCell="E1" sqref="E1"/>
      <selection pane="bottomLeft" activeCell="A9" sqref="A9"/>
      <selection pane="bottomRight" activeCell="A2" sqref="A2"/>
    </sheetView>
  </sheetViews>
  <sheetFormatPr defaultColWidth="10.875" defaultRowHeight="15.75"/>
  <cols>
    <col min="1" max="1" width="9.375" style="1" customWidth="1"/>
    <col min="2" max="2" width="7.5" style="2" customWidth="1"/>
    <col min="3" max="3" width="18.5" style="17" customWidth="1"/>
    <col min="4" max="4" width="12.125" style="17" bestFit="1" customWidth="1"/>
    <col min="5" max="5" width="11.875" style="17" customWidth="1"/>
    <col min="6" max="6" width="19.375" style="11" bestFit="1" customWidth="1"/>
    <col min="7" max="7" width="20.5" style="347" customWidth="1"/>
    <col min="8" max="8" width="20.5" style="348" customWidth="1"/>
    <col min="9" max="9" width="7.5" style="349" customWidth="1"/>
    <col min="10" max="10" width="19.375" style="350" bestFit="1" customWidth="1"/>
    <col min="11" max="11" width="20.5" style="349" customWidth="1"/>
    <col min="12" max="12" width="20.5" style="347" customWidth="1"/>
    <col min="13" max="13" width="9.125" style="349" customWidth="1"/>
    <col min="14" max="14" width="19.375" style="351" bestFit="1" customWidth="1"/>
    <col min="15" max="15" width="20.5" style="350" customWidth="1"/>
    <col min="16" max="16" width="20.5" style="348" customWidth="1"/>
    <col min="17" max="17" width="7.125" style="349" customWidth="1"/>
    <col min="18" max="18" width="20.5" style="346" customWidth="1"/>
    <col min="19" max="19" width="20.5" style="349" customWidth="1"/>
    <col min="20" max="20" width="20.5" style="347" customWidth="1"/>
    <col min="21" max="21" width="29" style="352" bestFit="1" customWidth="1"/>
    <col min="22" max="22" width="26.875" style="11" customWidth="1"/>
    <col min="23" max="23" width="10.875" style="420"/>
    <col min="24" max="24" width="10.875" style="346"/>
    <col min="25" max="25" width="10.875" style="421"/>
    <col min="26" max="26" width="10.375" style="12" customWidth="1"/>
    <col min="27" max="27" width="10.875" style="422"/>
    <col min="28" max="28" width="10.875" style="11"/>
    <col min="29" max="29" width="10.875" style="346"/>
    <col min="30" max="30" width="10.875" style="12"/>
    <col min="31" max="31" width="26.375" style="16" bestFit="1" customWidth="1"/>
    <col min="32" max="32" width="18.875" style="15" bestFit="1" customWidth="1"/>
    <col min="33" max="33" width="16.625" style="16" bestFit="1" customWidth="1"/>
    <col min="34" max="34" width="22.625" style="15" bestFit="1" customWidth="1"/>
    <col min="35" max="35" width="15.125" style="16" bestFit="1" customWidth="1"/>
    <col min="36" max="16384" width="10.875" style="11"/>
  </cols>
  <sheetData>
    <row r="1" spans="1:35">
      <c r="A1" s="1" t="s">
        <v>0</v>
      </c>
      <c r="C1" s="3"/>
      <c r="D1" s="4"/>
      <c r="E1" s="4"/>
      <c r="F1" s="4"/>
      <c r="G1" s="5"/>
      <c r="H1" s="5"/>
      <c r="I1" s="5"/>
      <c r="J1" s="6"/>
      <c r="K1" s="5"/>
      <c r="L1" s="5"/>
      <c r="M1" s="5"/>
      <c r="N1" s="4"/>
      <c r="O1" s="4"/>
      <c r="P1" s="5"/>
      <c r="Q1" s="5"/>
      <c r="R1" s="7"/>
      <c r="S1" s="8"/>
      <c r="T1" s="9"/>
      <c r="U1" s="10"/>
      <c r="V1" s="4"/>
      <c r="W1" s="11"/>
      <c r="X1" s="11"/>
      <c r="Y1" s="11"/>
      <c r="AA1" s="13"/>
      <c r="AC1" s="11"/>
      <c r="AE1" s="14"/>
      <c r="AF1" s="14"/>
      <c r="AG1" s="14"/>
    </row>
    <row r="2" spans="1:35">
      <c r="F2" s="426" t="s">
        <v>1</v>
      </c>
      <c r="G2" s="427"/>
      <c r="H2" s="427"/>
      <c r="I2" s="427"/>
      <c r="J2" s="427"/>
      <c r="K2" s="427"/>
      <c r="L2" s="427"/>
      <c r="M2" s="18"/>
      <c r="N2" s="428" t="s">
        <v>2</v>
      </c>
      <c r="O2" s="428"/>
      <c r="P2" s="428"/>
      <c r="Q2" s="428"/>
      <c r="R2" s="428"/>
      <c r="S2" s="428"/>
      <c r="T2" s="428"/>
      <c r="U2" s="19"/>
      <c r="W2" s="427" t="s">
        <v>1</v>
      </c>
      <c r="X2" s="427"/>
      <c r="Y2" s="427"/>
      <c r="Z2" s="20"/>
      <c r="AA2" s="428" t="s">
        <v>2</v>
      </c>
      <c r="AB2" s="428"/>
      <c r="AC2" s="428"/>
      <c r="AD2" s="21"/>
      <c r="AE2" s="14"/>
      <c r="AF2" s="14"/>
      <c r="AG2" s="14"/>
    </row>
    <row r="3" spans="1:35">
      <c r="F3" s="22" t="s">
        <v>3</v>
      </c>
      <c r="G3" s="23" t="s">
        <v>4</v>
      </c>
      <c r="H3" s="24" t="s">
        <v>5</v>
      </c>
      <c r="I3" s="24"/>
      <c r="J3" s="25" t="s">
        <v>3</v>
      </c>
      <c r="K3" s="26" t="s">
        <v>4</v>
      </c>
      <c r="L3" s="27" t="s">
        <v>5</v>
      </c>
      <c r="M3" s="18"/>
      <c r="N3" s="28" t="s">
        <v>3</v>
      </c>
      <c r="O3" s="29" t="s">
        <v>4</v>
      </c>
      <c r="P3" s="30" t="s">
        <v>5</v>
      </c>
      <c r="Q3" s="30"/>
      <c r="R3" s="31" t="s">
        <v>3</v>
      </c>
      <c r="S3" s="30" t="s">
        <v>4</v>
      </c>
      <c r="T3" s="29" t="s">
        <v>5</v>
      </c>
      <c r="U3" s="32"/>
      <c r="W3" s="22" t="s">
        <v>3</v>
      </c>
      <c r="X3" s="23" t="s">
        <v>4</v>
      </c>
      <c r="Y3" s="33" t="s">
        <v>5</v>
      </c>
      <c r="Z3" s="20"/>
      <c r="AA3" s="29" t="s">
        <v>3</v>
      </c>
      <c r="AB3" s="30" t="s">
        <v>4</v>
      </c>
      <c r="AC3" s="29" t="s">
        <v>5</v>
      </c>
      <c r="AD3" s="21"/>
    </row>
    <row r="4" spans="1:35" s="36" customFormat="1">
      <c r="A4" s="1" t="s">
        <v>6</v>
      </c>
      <c r="B4" s="34" t="s">
        <v>7</v>
      </c>
      <c r="C4" s="35" t="s">
        <v>8</v>
      </c>
      <c r="D4" s="35" t="s">
        <v>9</v>
      </c>
      <c r="E4" s="35" t="s">
        <v>10</v>
      </c>
      <c r="F4" s="36" t="s">
        <v>11</v>
      </c>
      <c r="G4" s="37" t="s">
        <v>11</v>
      </c>
      <c r="H4" s="38" t="s">
        <v>11</v>
      </c>
      <c r="I4" s="39"/>
      <c r="J4" s="37" t="s">
        <v>12</v>
      </c>
      <c r="K4" s="39" t="s">
        <v>12</v>
      </c>
      <c r="L4" s="37" t="s">
        <v>12</v>
      </c>
      <c r="M4" s="40"/>
      <c r="N4" s="41" t="s">
        <v>11</v>
      </c>
      <c r="O4" s="37" t="s">
        <v>11</v>
      </c>
      <c r="P4" s="38" t="s">
        <v>11</v>
      </c>
      <c r="Q4" s="39"/>
      <c r="R4" s="42" t="s">
        <v>12</v>
      </c>
      <c r="S4" s="36" t="s">
        <v>12</v>
      </c>
      <c r="T4" s="37" t="s">
        <v>12</v>
      </c>
      <c r="U4" s="43" t="s">
        <v>13</v>
      </c>
      <c r="V4" s="36" t="s">
        <v>14</v>
      </c>
      <c r="W4" s="44" t="s">
        <v>15</v>
      </c>
      <c r="X4" s="42" t="s">
        <v>15</v>
      </c>
      <c r="Y4" s="45" t="s">
        <v>15</v>
      </c>
      <c r="Z4" s="46" t="s">
        <v>16</v>
      </c>
      <c r="AA4" s="42" t="s">
        <v>15</v>
      </c>
      <c r="AB4" s="36" t="s">
        <v>15</v>
      </c>
      <c r="AC4" s="42" t="s">
        <v>15</v>
      </c>
      <c r="AD4" s="46" t="s">
        <v>16</v>
      </c>
      <c r="AE4" s="47" t="s">
        <v>17</v>
      </c>
      <c r="AF4" s="48" t="s">
        <v>18</v>
      </c>
      <c r="AG4" s="49" t="s">
        <v>19</v>
      </c>
      <c r="AH4" s="50" t="s">
        <v>20</v>
      </c>
      <c r="AI4" s="49" t="s">
        <v>21</v>
      </c>
    </row>
    <row r="5" spans="1:35" s="54" customFormat="1">
      <c r="A5" s="51" t="s">
        <v>22</v>
      </c>
      <c r="B5" s="52">
        <v>2</v>
      </c>
      <c r="C5" s="53" t="s">
        <v>23</v>
      </c>
      <c r="D5" s="53" t="s">
        <v>24</v>
      </c>
      <c r="E5" s="53" t="s">
        <v>25</v>
      </c>
      <c r="F5" s="54">
        <v>20</v>
      </c>
      <c r="G5" s="55">
        <v>25</v>
      </c>
      <c r="H5" s="56">
        <v>26</v>
      </c>
      <c r="I5" s="57"/>
      <c r="J5" s="58">
        <f>(2+1)/2</f>
        <v>1.5</v>
      </c>
      <c r="K5" s="57">
        <f>(1+0)/2</f>
        <v>0.5</v>
      </c>
      <c r="L5" s="55">
        <f>(2+2)/2</f>
        <v>2</v>
      </c>
      <c r="M5" s="57"/>
      <c r="N5" s="59">
        <v>32</v>
      </c>
      <c r="O5" s="58">
        <v>24</v>
      </c>
      <c r="P5" s="56">
        <v>27</v>
      </c>
      <c r="Q5" s="57"/>
      <c r="R5" s="53">
        <f>(4+0)/2</f>
        <v>2</v>
      </c>
      <c r="S5" s="57">
        <f>(5+4)/2</f>
        <v>4.5</v>
      </c>
      <c r="T5" s="55">
        <f>(1+1)/2</f>
        <v>1</v>
      </c>
      <c r="U5" s="60" t="s">
        <v>26</v>
      </c>
      <c r="V5" s="54" t="s">
        <v>27</v>
      </c>
      <c r="W5" s="61">
        <f t="shared" ref="W5:Y24" si="0">J5/(F5+J5)</f>
        <v>6.9767441860465115E-2</v>
      </c>
      <c r="X5" s="62">
        <f t="shared" si="0"/>
        <v>1.9607843137254902E-2</v>
      </c>
      <c r="Y5" s="63">
        <f t="shared" si="0"/>
        <v>7.1428571428571425E-2</v>
      </c>
      <c r="Z5" s="64">
        <f>AVERAGE(W5:Y5)</f>
        <v>5.3601285475430478E-2</v>
      </c>
      <c r="AA5" s="62">
        <f t="shared" ref="AA5:AC24" si="1">R5/(N5+R5)</f>
        <v>5.8823529411764705E-2</v>
      </c>
      <c r="AB5" s="65">
        <f t="shared" si="1"/>
        <v>0.15789473684210525</v>
      </c>
      <c r="AC5" s="62">
        <f t="shared" si="1"/>
        <v>3.5714285714285712E-2</v>
      </c>
      <c r="AD5" s="66">
        <f>AVERAGE(AA5:AC5)</f>
        <v>8.4144183989385224E-2</v>
      </c>
      <c r="AE5" s="67">
        <v>1</v>
      </c>
      <c r="AF5" s="68">
        <v>0</v>
      </c>
      <c r="AG5" s="67">
        <v>0</v>
      </c>
      <c r="AH5" s="68">
        <v>1</v>
      </c>
      <c r="AI5" s="67">
        <v>0</v>
      </c>
    </row>
    <row r="6" spans="1:35" s="4" customFormat="1">
      <c r="A6" s="1"/>
      <c r="B6" s="2"/>
      <c r="C6" s="17"/>
      <c r="D6" s="17"/>
      <c r="E6" s="17" t="s">
        <v>28</v>
      </c>
      <c r="F6" s="4">
        <v>28</v>
      </c>
      <c r="G6" s="69">
        <v>25</v>
      </c>
      <c r="H6" s="70">
        <v>18</v>
      </c>
      <c r="I6" s="5"/>
      <c r="J6" s="71">
        <f>(4+4)/2</f>
        <v>4</v>
      </c>
      <c r="K6" s="5">
        <f>(3+2)/2</f>
        <v>2.5</v>
      </c>
      <c r="L6" s="69">
        <f>(5+1)/2</f>
        <v>3</v>
      </c>
      <c r="M6" s="5"/>
      <c r="N6" s="72">
        <v>27</v>
      </c>
      <c r="O6" s="71">
        <v>24</v>
      </c>
      <c r="P6" s="70">
        <v>29</v>
      </c>
      <c r="Q6" s="5"/>
      <c r="R6" s="17">
        <f>(2+1)/2</f>
        <v>1.5</v>
      </c>
      <c r="S6" s="5">
        <f>(6+2)/2</f>
        <v>4</v>
      </c>
      <c r="T6" s="69">
        <f>(2+1)/2</f>
        <v>1.5</v>
      </c>
      <c r="U6" s="73"/>
      <c r="W6" s="61">
        <f t="shared" si="0"/>
        <v>0.125</v>
      </c>
      <c r="X6" s="62">
        <f t="shared" si="0"/>
        <v>9.0909090909090912E-2</v>
      </c>
      <c r="Y6" s="63">
        <f t="shared" si="0"/>
        <v>0.14285714285714285</v>
      </c>
      <c r="Z6" s="64">
        <f t="shared" ref="Z6:Z64" si="2">AVERAGE(W6:Y6)</f>
        <v>0.11958874458874458</v>
      </c>
      <c r="AA6" s="62">
        <f t="shared" si="1"/>
        <v>5.2631578947368418E-2</v>
      </c>
      <c r="AB6" s="65">
        <f t="shared" si="1"/>
        <v>0.14285714285714285</v>
      </c>
      <c r="AC6" s="62">
        <f t="shared" si="1"/>
        <v>4.9180327868852458E-2</v>
      </c>
      <c r="AD6" s="66">
        <f t="shared" ref="AD6:AD64" si="3">AVERAGE(AA6:AC6)</f>
        <v>8.1556349891121246E-2</v>
      </c>
      <c r="AE6" s="74"/>
      <c r="AF6" s="14"/>
      <c r="AG6" s="74"/>
      <c r="AH6" s="14"/>
      <c r="AI6" s="74"/>
    </row>
    <row r="7" spans="1:35" s="4" customFormat="1">
      <c r="A7" s="1"/>
      <c r="B7" s="2"/>
      <c r="C7" s="17"/>
      <c r="D7" s="17"/>
      <c r="E7" s="17" t="s">
        <v>29</v>
      </c>
      <c r="F7" s="4">
        <v>28</v>
      </c>
      <c r="G7" s="69">
        <v>32</v>
      </c>
      <c r="H7" s="70">
        <v>33</v>
      </c>
      <c r="I7" s="5"/>
      <c r="J7" s="71">
        <f>(3+1)/2</f>
        <v>2</v>
      </c>
      <c r="K7" s="5">
        <f>(1+0)/2</f>
        <v>0.5</v>
      </c>
      <c r="L7" s="69">
        <f>(1+3)/2</f>
        <v>2</v>
      </c>
      <c r="M7" s="5"/>
      <c r="N7" s="72">
        <v>24</v>
      </c>
      <c r="O7" s="71">
        <v>31</v>
      </c>
      <c r="P7" s="70">
        <v>20</v>
      </c>
      <c r="Q7" s="5"/>
      <c r="R7" s="17">
        <f>(2+0)/2</f>
        <v>1</v>
      </c>
      <c r="S7" s="5">
        <f>(1+0)/2</f>
        <v>0.5</v>
      </c>
      <c r="T7" s="69">
        <f>(2+1)/2</f>
        <v>1.5</v>
      </c>
      <c r="U7" s="73"/>
      <c r="W7" s="61">
        <f t="shared" si="0"/>
        <v>6.6666666666666666E-2</v>
      </c>
      <c r="X7" s="62">
        <f t="shared" si="0"/>
        <v>1.5384615384615385E-2</v>
      </c>
      <c r="Y7" s="63">
        <f t="shared" si="0"/>
        <v>5.7142857142857141E-2</v>
      </c>
      <c r="Z7" s="64">
        <f t="shared" si="2"/>
        <v>4.63980463980464E-2</v>
      </c>
      <c r="AA7" s="62">
        <f t="shared" si="1"/>
        <v>0.04</v>
      </c>
      <c r="AB7" s="65">
        <f t="shared" si="1"/>
        <v>1.5873015873015872E-2</v>
      </c>
      <c r="AC7" s="62">
        <f t="shared" si="1"/>
        <v>6.9767441860465115E-2</v>
      </c>
      <c r="AD7" s="66">
        <f t="shared" si="3"/>
        <v>4.1880152577826991E-2</v>
      </c>
      <c r="AE7" s="74"/>
      <c r="AF7" s="14"/>
      <c r="AG7" s="74"/>
      <c r="AH7" s="14"/>
      <c r="AI7" s="74"/>
    </row>
    <row r="8" spans="1:35" s="78" customFormat="1">
      <c r="A8" s="75"/>
      <c r="B8" s="76"/>
      <c r="C8" s="77"/>
      <c r="D8" s="77"/>
      <c r="E8" s="77" t="s">
        <v>30</v>
      </c>
      <c r="F8" s="78">
        <v>23</v>
      </c>
      <c r="G8" s="79">
        <v>27</v>
      </c>
      <c r="H8" s="80">
        <v>18</v>
      </c>
      <c r="I8" s="81"/>
      <c r="J8" s="82">
        <f>(1+0)/2</f>
        <v>0.5</v>
      </c>
      <c r="K8" s="81">
        <f>(2+1)/2</f>
        <v>1.5</v>
      </c>
      <c r="L8" s="79">
        <v>2</v>
      </c>
      <c r="M8" s="81"/>
      <c r="N8" s="83">
        <v>59</v>
      </c>
      <c r="O8" s="82">
        <v>56</v>
      </c>
      <c r="P8" s="80">
        <v>41</v>
      </c>
      <c r="Q8" s="81"/>
      <c r="R8" s="77">
        <f>(6+5)/2</f>
        <v>5.5</v>
      </c>
      <c r="S8" s="81">
        <f>(5+4)/2</f>
        <v>4.5</v>
      </c>
      <c r="T8" s="79">
        <f>(1+3)/2</f>
        <v>2</v>
      </c>
      <c r="U8" s="84"/>
      <c r="W8" s="85">
        <f t="shared" si="0"/>
        <v>2.1276595744680851E-2</v>
      </c>
      <c r="X8" s="86">
        <f t="shared" si="0"/>
        <v>5.2631578947368418E-2</v>
      </c>
      <c r="Y8" s="87">
        <f t="shared" si="0"/>
        <v>0.1</v>
      </c>
      <c r="Z8" s="88">
        <f t="shared" si="2"/>
        <v>5.7969391564016426E-2</v>
      </c>
      <c r="AA8" s="86">
        <f t="shared" si="1"/>
        <v>8.5271317829457363E-2</v>
      </c>
      <c r="AB8" s="89">
        <f t="shared" si="1"/>
        <v>7.43801652892562E-2</v>
      </c>
      <c r="AC8" s="86">
        <f t="shared" si="1"/>
        <v>4.6511627906976744E-2</v>
      </c>
      <c r="AD8" s="90">
        <f t="shared" si="3"/>
        <v>6.872103700856344E-2</v>
      </c>
      <c r="AE8" s="91"/>
      <c r="AF8" s="92"/>
      <c r="AG8" s="91"/>
      <c r="AH8" s="92"/>
      <c r="AI8" s="91"/>
    </row>
    <row r="9" spans="1:35" s="65" customFormat="1">
      <c r="A9" s="1"/>
      <c r="B9" s="2">
        <v>4</v>
      </c>
      <c r="C9" s="17" t="s">
        <v>31</v>
      </c>
      <c r="D9" s="17" t="s">
        <v>32</v>
      </c>
      <c r="E9" s="17" t="s">
        <v>25</v>
      </c>
      <c r="F9" s="65">
        <v>9</v>
      </c>
      <c r="G9" s="93">
        <v>22</v>
      </c>
      <c r="H9" s="94">
        <v>20</v>
      </c>
      <c r="I9" s="95"/>
      <c r="J9" s="96">
        <v>2</v>
      </c>
      <c r="K9" s="95">
        <v>2</v>
      </c>
      <c r="L9" s="93">
        <v>5</v>
      </c>
      <c r="M9" s="95"/>
      <c r="N9" s="97">
        <v>14</v>
      </c>
      <c r="O9" s="96">
        <v>19</v>
      </c>
      <c r="P9" s="94">
        <v>19</v>
      </c>
      <c r="Q9" s="95"/>
      <c r="R9" s="62">
        <v>4</v>
      </c>
      <c r="S9" s="95">
        <v>1</v>
      </c>
      <c r="T9" s="93">
        <v>4</v>
      </c>
      <c r="U9" s="98" t="s">
        <v>26</v>
      </c>
      <c r="V9" s="65" t="s">
        <v>33</v>
      </c>
      <c r="W9" s="61">
        <f t="shared" si="0"/>
        <v>0.18181818181818182</v>
      </c>
      <c r="X9" s="62">
        <f t="shared" si="0"/>
        <v>8.3333333333333329E-2</v>
      </c>
      <c r="Y9" s="63">
        <f t="shared" si="0"/>
        <v>0.2</v>
      </c>
      <c r="Z9" s="64">
        <f t="shared" si="2"/>
        <v>0.15505050505050505</v>
      </c>
      <c r="AA9" s="62">
        <f t="shared" si="1"/>
        <v>0.22222222222222221</v>
      </c>
      <c r="AB9" s="65">
        <f t="shared" si="1"/>
        <v>0.05</v>
      </c>
      <c r="AC9" s="62">
        <f t="shared" si="1"/>
        <v>0.17391304347826086</v>
      </c>
      <c r="AD9" s="66">
        <f t="shared" si="3"/>
        <v>0.14871175523349436</v>
      </c>
      <c r="AE9" s="99">
        <v>1</v>
      </c>
      <c r="AF9" s="100">
        <v>0</v>
      </c>
      <c r="AG9" s="99">
        <v>0</v>
      </c>
      <c r="AH9" s="100">
        <v>1</v>
      </c>
      <c r="AI9" s="99">
        <v>0</v>
      </c>
    </row>
    <row r="10" spans="1:35" s="65" customFormat="1">
      <c r="A10" s="1"/>
      <c r="B10" s="2"/>
      <c r="C10" s="17"/>
      <c r="D10" s="17"/>
      <c r="E10" s="17" t="s">
        <v>28</v>
      </c>
      <c r="F10" s="65">
        <v>16</v>
      </c>
      <c r="G10" s="93">
        <v>13</v>
      </c>
      <c r="H10" s="94">
        <v>7</v>
      </c>
      <c r="I10" s="95"/>
      <c r="J10" s="96">
        <v>2</v>
      </c>
      <c r="K10" s="95">
        <v>2</v>
      </c>
      <c r="L10" s="93">
        <v>3</v>
      </c>
      <c r="M10" s="95"/>
      <c r="N10" s="97">
        <v>9</v>
      </c>
      <c r="O10" s="96">
        <v>19</v>
      </c>
      <c r="P10" s="94">
        <v>6</v>
      </c>
      <c r="Q10" s="95"/>
      <c r="R10" s="62">
        <v>0</v>
      </c>
      <c r="S10" s="95">
        <v>0</v>
      </c>
      <c r="T10" s="93">
        <v>1</v>
      </c>
      <c r="U10" s="98"/>
      <c r="W10" s="61">
        <f t="shared" si="0"/>
        <v>0.1111111111111111</v>
      </c>
      <c r="X10" s="62">
        <f t="shared" si="0"/>
        <v>0.13333333333333333</v>
      </c>
      <c r="Y10" s="63">
        <f t="shared" si="0"/>
        <v>0.3</v>
      </c>
      <c r="Z10" s="64">
        <f t="shared" si="2"/>
        <v>0.18148148148148147</v>
      </c>
      <c r="AA10" s="62">
        <f t="shared" si="1"/>
        <v>0</v>
      </c>
      <c r="AB10" s="65">
        <f t="shared" si="1"/>
        <v>0</v>
      </c>
      <c r="AC10" s="62">
        <f t="shared" si="1"/>
        <v>0.14285714285714285</v>
      </c>
      <c r="AD10" s="66">
        <f t="shared" si="3"/>
        <v>4.7619047619047616E-2</v>
      </c>
      <c r="AE10" s="99"/>
      <c r="AF10" s="100"/>
      <c r="AG10" s="99"/>
      <c r="AH10" s="100"/>
      <c r="AI10" s="99"/>
    </row>
    <row r="11" spans="1:35" s="65" customFormat="1">
      <c r="A11" s="1"/>
      <c r="B11" s="2"/>
      <c r="C11" s="17"/>
      <c r="D11" s="17"/>
      <c r="E11" s="17" t="s">
        <v>29</v>
      </c>
      <c r="F11" s="65">
        <v>9</v>
      </c>
      <c r="G11" s="93">
        <v>25</v>
      </c>
      <c r="H11" s="94">
        <v>19</v>
      </c>
      <c r="I11" s="95"/>
      <c r="J11" s="96">
        <v>0</v>
      </c>
      <c r="K11" s="95">
        <v>0</v>
      </c>
      <c r="L11" s="93">
        <v>0</v>
      </c>
      <c r="M11" s="95"/>
      <c r="N11" s="97">
        <v>21</v>
      </c>
      <c r="O11" s="96">
        <v>19</v>
      </c>
      <c r="P11" s="94">
        <v>13</v>
      </c>
      <c r="Q11" s="95"/>
      <c r="R11" s="62">
        <v>5</v>
      </c>
      <c r="S11" s="95">
        <v>4</v>
      </c>
      <c r="T11" s="93">
        <v>2</v>
      </c>
      <c r="U11" s="98"/>
      <c r="W11" s="61">
        <f t="shared" si="0"/>
        <v>0</v>
      </c>
      <c r="X11" s="62">
        <f t="shared" si="0"/>
        <v>0</v>
      </c>
      <c r="Y11" s="63">
        <f t="shared" si="0"/>
        <v>0</v>
      </c>
      <c r="Z11" s="64">
        <f t="shared" si="2"/>
        <v>0</v>
      </c>
      <c r="AA11" s="62">
        <f t="shared" si="1"/>
        <v>0.19230769230769232</v>
      </c>
      <c r="AB11" s="65">
        <f t="shared" si="1"/>
        <v>0.17391304347826086</v>
      </c>
      <c r="AC11" s="62">
        <f t="shared" si="1"/>
        <v>0.13333333333333333</v>
      </c>
      <c r="AD11" s="66">
        <f t="shared" si="3"/>
        <v>0.16651802303976215</v>
      </c>
      <c r="AE11" s="99"/>
      <c r="AF11" s="100"/>
      <c r="AG11" s="99"/>
      <c r="AH11" s="100"/>
      <c r="AI11" s="99"/>
    </row>
    <row r="12" spans="1:35" s="89" customFormat="1">
      <c r="A12" s="75"/>
      <c r="B12" s="76"/>
      <c r="C12" s="77"/>
      <c r="D12" s="77"/>
      <c r="E12" s="77" t="s">
        <v>30</v>
      </c>
      <c r="F12" s="89">
        <v>18</v>
      </c>
      <c r="G12" s="101">
        <v>12</v>
      </c>
      <c r="H12" s="102">
        <v>20</v>
      </c>
      <c r="I12" s="103"/>
      <c r="J12" s="104">
        <v>2</v>
      </c>
      <c r="K12" s="103">
        <v>1</v>
      </c>
      <c r="L12" s="101">
        <v>0</v>
      </c>
      <c r="M12" s="103"/>
      <c r="N12" s="105">
        <v>30</v>
      </c>
      <c r="O12" s="104">
        <v>24</v>
      </c>
      <c r="P12" s="102">
        <v>14</v>
      </c>
      <c r="Q12" s="103"/>
      <c r="R12" s="86">
        <v>2</v>
      </c>
      <c r="S12" s="103">
        <v>3</v>
      </c>
      <c r="T12" s="101">
        <v>3</v>
      </c>
      <c r="U12" s="106"/>
      <c r="W12" s="85">
        <f t="shared" si="0"/>
        <v>0.1</v>
      </c>
      <c r="X12" s="86">
        <f t="shared" si="0"/>
        <v>7.6923076923076927E-2</v>
      </c>
      <c r="Y12" s="87">
        <f t="shared" si="0"/>
        <v>0</v>
      </c>
      <c r="Z12" s="88">
        <f t="shared" si="2"/>
        <v>5.897435897435898E-2</v>
      </c>
      <c r="AA12" s="86">
        <f t="shared" si="1"/>
        <v>6.25E-2</v>
      </c>
      <c r="AB12" s="89">
        <f t="shared" si="1"/>
        <v>0.1111111111111111</v>
      </c>
      <c r="AC12" s="86">
        <f t="shared" si="1"/>
        <v>0.17647058823529413</v>
      </c>
      <c r="AD12" s="90">
        <f t="shared" si="3"/>
        <v>0.11669389978213507</v>
      </c>
      <c r="AE12" s="107"/>
      <c r="AF12" s="108"/>
      <c r="AG12" s="107"/>
      <c r="AH12" s="108"/>
      <c r="AI12" s="107"/>
    </row>
    <row r="13" spans="1:35" s="4" customFormat="1">
      <c r="A13" s="1"/>
      <c r="B13" s="2">
        <v>21</v>
      </c>
      <c r="C13" s="17" t="s">
        <v>23</v>
      </c>
      <c r="D13" s="17" t="s">
        <v>24</v>
      </c>
      <c r="E13" s="17" t="s">
        <v>25</v>
      </c>
      <c r="F13" s="4">
        <f>(6+9)/2</f>
        <v>7.5</v>
      </c>
      <c r="G13" s="69">
        <f>(5+4)/2</f>
        <v>4.5</v>
      </c>
      <c r="H13" s="70">
        <f>(8+13)/2</f>
        <v>10.5</v>
      </c>
      <c r="I13" s="5"/>
      <c r="J13" s="71">
        <v>0</v>
      </c>
      <c r="K13" s="5">
        <v>1</v>
      </c>
      <c r="L13" s="69">
        <v>0</v>
      </c>
      <c r="M13" s="5"/>
      <c r="N13" s="72">
        <f>(6+7)/2</f>
        <v>6.5</v>
      </c>
      <c r="O13" s="71">
        <f>(4+1)/2</f>
        <v>2.5</v>
      </c>
      <c r="P13" s="70">
        <f>(18+7)/2</f>
        <v>12.5</v>
      </c>
      <c r="Q13" s="5"/>
      <c r="R13" s="17">
        <v>0</v>
      </c>
      <c r="S13" s="5">
        <v>0</v>
      </c>
      <c r="T13" s="69">
        <v>1</v>
      </c>
      <c r="U13" s="73" t="s">
        <v>34</v>
      </c>
      <c r="V13" s="4" t="s">
        <v>35</v>
      </c>
      <c r="W13" s="61">
        <f t="shared" si="0"/>
        <v>0</v>
      </c>
      <c r="X13" s="62">
        <f t="shared" si="0"/>
        <v>0.18181818181818182</v>
      </c>
      <c r="Y13" s="63">
        <f t="shared" si="0"/>
        <v>0</v>
      </c>
      <c r="Z13" s="64">
        <f t="shared" si="2"/>
        <v>6.0606060606060608E-2</v>
      </c>
      <c r="AA13" s="62">
        <f t="shared" si="1"/>
        <v>0</v>
      </c>
      <c r="AB13" s="65">
        <f t="shared" si="1"/>
        <v>0</v>
      </c>
      <c r="AC13" s="62">
        <f t="shared" si="1"/>
        <v>7.407407407407407E-2</v>
      </c>
      <c r="AD13" s="66">
        <f t="shared" si="3"/>
        <v>2.4691358024691357E-2</v>
      </c>
      <c r="AE13" s="74">
        <v>1</v>
      </c>
      <c r="AF13" s="14">
        <v>0</v>
      </c>
      <c r="AG13" s="74">
        <v>0</v>
      </c>
      <c r="AH13" s="14">
        <v>1</v>
      </c>
      <c r="AI13" s="74">
        <v>0</v>
      </c>
    </row>
    <row r="14" spans="1:35" s="4" customFormat="1">
      <c r="A14" s="1"/>
      <c r="B14" s="2"/>
      <c r="C14" s="17"/>
      <c r="D14" s="17"/>
      <c r="E14" s="17" t="s">
        <v>28</v>
      </c>
      <c r="F14" s="4">
        <f>(8+7)/2</f>
        <v>7.5</v>
      </c>
      <c r="G14" s="69">
        <f>(8+7)/2</f>
        <v>7.5</v>
      </c>
      <c r="H14" s="70">
        <f>(8+6)/2</f>
        <v>7</v>
      </c>
      <c r="I14" s="5"/>
      <c r="J14" s="71">
        <v>1</v>
      </c>
      <c r="K14" s="5">
        <v>0</v>
      </c>
      <c r="L14" s="69">
        <v>1</v>
      </c>
      <c r="M14" s="5"/>
      <c r="N14" s="72">
        <f>(13+21)/2</f>
        <v>17</v>
      </c>
      <c r="O14" s="71">
        <f>(20+12)/2</f>
        <v>16</v>
      </c>
      <c r="P14" s="70">
        <f>(11+11)/2</f>
        <v>11</v>
      </c>
      <c r="Q14" s="5"/>
      <c r="R14" s="17">
        <v>0</v>
      </c>
      <c r="S14" s="5">
        <v>1</v>
      </c>
      <c r="T14" s="69">
        <v>2</v>
      </c>
      <c r="U14" s="73"/>
      <c r="W14" s="61">
        <f t="shared" si="0"/>
        <v>0.11764705882352941</v>
      </c>
      <c r="X14" s="62">
        <f t="shared" si="0"/>
        <v>0</v>
      </c>
      <c r="Y14" s="63">
        <f t="shared" si="0"/>
        <v>0.125</v>
      </c>
      <c r="Z14" s="64">
        <f t="shared" si="2"/>
        <v>8.0882352941176475E-2</v>
      </c>
      <c r="AA14" s="62">
        <f t="shared" si="1"/>
        <v>0</v>
      </c>
      <c r="AB14" s="65">
        <f t="shared" si="1"/>
        <v>5.8823529411764705E-2</v>
      </c>
      <c r="AC14" s="62">
        <f t="shared" si="1"/>
        <v>0.15384615384615385</v>
      </c>
      <c r="AD14" s="66">
        <f t="shared" si="3"/>
        <v>7.0889894419306196E-2</v>
      </c>
      <c r="AE14" s="74"/>
      <c r="AF14" s="14"/>
      <c r="AG14" s="74"/>
      <c r="AH14" s="14"/>
      <c r="AI14" s="74"/>
    </row>
    <row r="15" spans="1:35" s="4" customFormat="1">
      <c r="A15" s="1"/>
      <c r="B15" s="2"/>
      <c r="C15" s="17"/>
      <c r="D15" s="17"/>
      <c r="E15" s="17" t="s">
        <v>29</v>
      </c>
      <c r="F15" s="4">
        <f>(13+21)/2</f>
        <v>17</v>
      </c>
      <c r="G15" s="69">
        <f>(13+24)/2</f>
        <v>18.5</v>
      </c>
      <c r="H15" s="70">
        <f>(10+19)/2</f>
        <v>14.5</v>
      </c>
      <c r="I15" s="5"/>
      <c r="J15" s="71">
        <v>2</v>
      </c>
      <c r="K15" s="5">
        <v>3</v>
      </c>
      <c r="L15" s="69">
        <v>1</v>
      </c>
      <c r="M15" s="5"/>
      <c r="N15" s="72">
        <f>(9+10)/2</f>
        <v>9.5</v>
      </c>
      <c r="O15" s="71">
        <f>(2+3)/2</f>
        <v>2.5</v>
      </c>
      <c r="P15" s="70">
        <f>(3+4)/2</f>
        <v>3.5</v>
      </c>
      <c r="Q15" s="5"/>
      <c r="R15" s="17">
        <v>1</v>
      </c>
      <c r="S15" s="5">
        <v>0</v>
      </c>
      <c r="T15" s="69">
        <v>0</v>
      </c>
      <c r="U15" s="73"/>
      <c r="W15" s="61">
        <f t="shared" si="0"/>
        <v>0.10526315789473684</v>
      </c>
      <c r="X15" s="62">
        <f t="shared" si="0"/>
        <v>0.13953488372093023</v>
      </c>
      <c r="Y15" s="63">
        <f t="shared" si="0"/>
        <v>6.4516129032258063E-2</v>
      </c>
      <c r="Z15" s="64">
        <f t="shared" si="2"/>
        <v>0.10310472354930837</v>
      </c>
      <c r="AA15" s="62">
        <f t="shared" si="1"/>
        <v>9.5238095238095233E-2</v>
      </c>
      <c r="AB15" s="65">
        <f t="shared" si="1"/>
        <v>0</v>
      </c>
      <c r="AC15" s="62">
        <f t="shared" si="1"/>
        <v>0</v>
      </c>
      <c r="AD15" s="66">
        <f t="shared" si="3"/>
        <v>3.1746031746031744E-2</v>
      </c>
      <c r="AE15" s="74"/>
      <c r="AF15" s="14"/>
      <c r="AG15" s="74"/>
      <c r="AH15" s="14"/>
      <c r="AI15" s="74"/>
    </row>
    <row r="16" spans="1:35" s="78" customFormat="1">
      <c r="A16" s="75"/>
      <c r="B16" s="76"/>
      <c r="C16" s="77"/>
      <c r="D16" s="77"/>
      <c r="E16" s="77" t="s">
        <v>30</v>
      </c>
      <c r="F16" s="78">
        <f>(11+17)/2</f>
        <v>14</v>
      </c>
      <c r="G16" s="79">
        <f>(11+19)/2</f>
        <v>15</v>
      </c>
      <c r="H16" s="80">
        <f>(7+8)/2</f>
        <v>7.5</v>
      </c>
      <c r="I16" s="81"/>
      <c r="J16" s="82">
        <v>0</v>
      </c>
      <c r="K16" s="81">
        <v>3</v>
      </c>
      <c r="L16" s="79">
        <v>0</v>
      </c>
      <c r="M16" s="81"/>
      <c r="N16" s="83">
        <f>(18+33)/2</f>
        <v>25.5</v>
      </c>
      <c r="O16" s="82">
        <f>(34+18)/2</f>
        <v>26</v>
      </c>
      <c r="P16" s="80">
        <f>(16+21)/2</f>
        <v>18.5</v>
      </c>
      <c r="Q16" s="81"/>
      <c r="R16" s="77">
        <v>2</v>
      </c>
      <c r="S16" s="81">
        <v>1</v>
      </c>
      <c r="T16" s="79">
        <v>0</v>
      </c>
      <c r="U16" s="84"/>
      <c r="W16" s="85">
        <f t="shared" si="0"/>
        <v>0</v>
      </c>
      <c r="X16" s="86">
        <f t="shared" si="0"/>
        <v>0.16666666666666666</v>
      </c>
      <c r="Y16" s="87">
        <f t="shared" si="0"/>
        <v>0</v>
      </c>
      <c r="Z16" s="88">
        <f t="shared" si="2"/>
        <v>5.5555555555555552E-2</v>
      </c>
      <c r="AA16" s="86">
        <f t="shared" si="1"/>
        <v>7.2727272727272724E-2</v>
      </c>
      <c r="AB16" s="89">
        <f t="shared" si="1"/>
        <v>3.7037037037037035E-2</v>
      </c>
      <c r="AC16" s="86">
        <f t="shared" si="1"/>
        <v>0</v>
      </c>
      <c r="AD16" s="90">
        <f t="shared" si="3"/>
        <v>3.6588103254769917E-2</v>
      </c>
      <c r="AE16" s="91"/>
      <c r="AF16" s="92"/>
      <c r="AG16" s="91"/>
      <c r="AH16" s="92"/>
      <c r="AI16" s="91"/>
    </row>
    <row r="17" spans="1:35" s="65" customFormat="1">
      <c r="A17" s="1"/>
      <c r="B17" s="2">
        <v>22</v>
      </c>
      <c r="C17" s="17" t="s">
        <v>36</v>
      </c>
      <c r="D17" s="17" t="s">
        <v>37</v>
      </c>
      <c r="E17" s="17" t="s">
        <v>25</v>
      </c>
      <c r="F17" s="65">
        <v>10</v>
      </c>
      <c r="G17" s="93">
        <v>2</v>
      </c>
      <c r="H17" s="94">
        <v>8</v>
      </c>
      <c r="I17" s="95"/>
      <c r="J17" s="96">
        <v>0</v>
      </c>
      <c r="K17" s="95">
        <v>2</v>
      </c>
      <c r="L17" s="93">
        <v>3</v>
      </c>
      <c r="M17" s="95"/>
      <c r="N17" s="97">
        <v>1</v>
      </c>
      <c r="O17" s="96">
        <v>6</v>
      </c>
      <c r="P17" s="94">
        <v>5</v>
      </c>
      <c r="Q17" s="95"/>
      <c r="R17" s="62">
        <v>0</v>
      </c>
      <c r="S17" s="95">
        <v>0</v>
      </c>
      <c r="T17" s="93">
        <v>4</v>
      </c>
      <c r="U17" s="98" t="s">
        <v>26</v>
      </c>
      <c r="V17" s="65" t="s">
        <v>38</v>
      </c>
      <c r="W17" s="61">
        <f t="shared" si="0"/>
        <v>0</v>
      </c>
      <c r="X17" s="62">
        <f t="shared" si="0"/>
        <v>0.5</v>
      </c>
      <c r="Y17" s="63">
        <f t="shared" si="0"/>
        <v>0.27272727272727271</v>
      </c>
      <c r="Z17" s="64">
        <f t="shared" si="2"/>
        <v>0.25757575757575757</v>
      </c>
      <c r="AA17" s="62">
        <f t="shared" si="1"/>
        <v>0</v>
      </c>
      <c r="AB17" s="65">
        <f t="shared" si="1"/>
        <v>0</v>
      </c>
      <c r="AC17" s="62">
        <f t="shared" si="1"/>
        <v>0.44444444444444442</v>
      </c>
      <c r="AD17" s="66">
        <f t="shared" si="3"/>
        <v>0.14814814814814814</v>
      </c>
      <c r="AE17" s="99">
        <v>1</v>
      </c>
      <c r="AF17" s="100">
        <v>0</v>
      </c>
      <c r="AG17" s="99">
        <v>0</v>
      </c>
      <c r="AH17" s="100">
        <v>1</v>
      </c>
      <c r="AI17" s="99">
        <v>0</v>
      </c>
    </row>
    <row r="18" spans="1:35" s="65" customFormat="1">
      <c r="A18" s="1"/>
      <c r="B18" s="2"/>
      <c r="C18" s="17"/>
      <c r="D18" s="17"/>
      <c r="E18" s="17" t="s">
        <v>28</v>
      </c>
      <c r="F18" s="65">
        <v>5</v>
      </c>
      <c r="G18" s="93">
        <v>6</v>
      </c>
      <c r="H18" s="94">
        <v>5</v>
      </c>
      <c r="I18" s="95"/>
      <c r="J18" s="96">
        <v>2</v>
      </c>
      <c r="K18" s="95">
        <v>7</v>
      </c>
      <c r="L18" s="93">
        <v>5</v>
      </c>
      <c r="M18" s="95"/>
      <c r="N18" s="97">
        <v>2</v>
      </c>
      <c r="O18" s="96">
        <v>2</v>
      </c>
      <c r="P18" s="94">
        <v>9</v>
      </c>
      <c r="Q18" s="95"/>
      <c r="R18" s="62">
        <v>2</v>
      </c>
      <c r="S18" s="95">
        <v>1</v>
      </c>
      <c r="T18" s="93">
        <v>1</v>
      </c>
      <c r="U18" s="98"/>
      <c r="W18" s="61">
        <f t="shared" si="0"/>
        <v>0.2857142857142857</v>
      </c>
      <c r="X18" s="62">
        <f t="shared" si="0"/>
        <v>0.53846153846153844</v>
      </c>
      <c r="Y18" s="63">
        <f t="shared" si="0"/>
        <v>0.5</v>
      </c>
      <c r="Z18" s="64">
        <f t="shared" si="2"/>
        <v>0.44139194139194138</v>
      </c>
      <c r="AA18" s="62">
        <f t="shared" si="1"/>
        <v>0.5</v>
      </c>
      <c r="AB18" s="65">
        <f t="shared" si="1"/>
        <v>0.33333333333333331</v>
      </c>
      <c r="AC18" s="62">
        <f t="shared" si="1"/>
        <v>0.1</v>
      </c>
      <c r="AD18" s="66">
        <f t="shared" si="3"/>
        <v>0.31111111111111106</v>
      </c>
      <c r="AE18" s="99"/>
      <c r="AF18" s="100"/>
      <c r="AG18" s="99"/>
      <c r="AH18" s="100"/>
      <c r="AI18" s="99"/>
    </row>
    <row r="19" spans="1:35" s="65" customFormat="1">
      <c r="A19" s="1"/>
      <c r="B19" s="2"/>
      <c r="C19" s="17"/>
      <c r="D19" s="17"/>
      <c r="E19" s="17" t="s">
        <v>29</v>
      </c>
      <c r="F19" s="65">
        <v>6</v>
      </c>
      <c r="G19" s="93">
        <v>12</v>
      </c>
      <c r="H19" s="94">
        <v>9</v>
      </c>
      <c r="I19" s="95"/>
      <c r="J19" s="96">
        <v>0</v>
      </c>
      <c r="K19" s="95">
        <v>4</v>
      </c>
      <c r="L19" s="93">
        <v>1</v>
      </c>
      <c r="M19" s="95"/>
      <c r="N19" s="97">
        <v>6</v>
      </c>
      <c r="O19" s="96">
        <v>6</v>
      </c>
      <c r="P19" s="94">
        <v>6</v>
      </c>
      <c r="Q19" s="95"/>
      <c r="R19" s="62">
        <v>2</v>
      </c>
      <c r="S19" s="95">
        <v>2</v>
      </c>
      <c r="T19" s="93">
        <v>2</v>
      </c>
      <c r="U19" s="98"/>
      <c r="W19" s="61">
        <f t="shared" si="0"/>
        <v>0</v>
      </c>
      <c r="X19" s="62">
        <f t="shared" si="0"/>
        <v>0.25</v>
      </c>
      <c r="Y19" s="63">
        <f t="shared" si="0"/>
        <v>0.1</v>
      </c>
      <c r="Z19" s="64">
        <f t="shared" si="2"/>
        <v>0.11666666666666665</v>
      </c>
      <c r="AA19" s="62">
        <f t="shared" si="1"/>
        <v>0.25</v>
      </c>
      <c r="AB19" s="65">
        <f t="shared" si="1"/>
        <v>0.25</v>
      </c>
      <c r="AC19" s="62">
        <f t="shared" si="1"/>
        <v>0.25</v>
      </c>
      <c r="AD19" s="66">
        <f t="shared" si="3"/>
        <v>0.25</v>
      </c>
      <c r="AE19" s="99"/>
      <c r="AF19" s="100"/>
      <c r="AG19" s="99"/>
      <c r="AH19" s="100"/>
      <c r="AI19" s="99"/>
    </row>
    <row r="20" spans="1:35" s="112" customFormat="1" ht="16.5" thickBot="1">
      <c r="A20" s="109"/>
      <c r="B20" s="110"/>
      <c r="C20" s="111"/>
      <c r="D20" s="111"/>
      <c r="E20" s="111" t="s">
        <v>30</v>
      </c>
      <c r="F20" s="112">
        <v>3</v>
      </c>
      <c r="G20" s="113">
        <v>8</v>
      </c>
      <c r="H20" s="114">
        <v>2</v>
      </c>
      <c r="I20" s="115"/>
      <c r="J20" s="116">
        <v>4</v>
      </c>
      <c r="K20" s="115">
        <v>2</v>
      </c>
      <c r="L20" s="113">
        <v>0</v>
      </c>
      <c r="M20" s="115"/>
      <c r="N20" s="117">
        <v>14</v>
      </c>
      <c r="O20" s="116">
        <v>9</v>
      </c>
      <c r="P20" s="114">
        <v>7</v>
      </c>
      <c r="Q20" s="115"/>
      <c r="R20" s="118">
        <v>8</v>
      </c>
      <c r="S20" s="115">
        <v>2</v>
      </c>
      <c r="T20" s="113">
        <v>6</v>
      </c>
      <c r="U20" s="119"/>
      <c r="W20" s="120">
        <f t="shared" si="0"/>
        <v>0.5714285714285714</v>
      </c>
      <c r="X20" s="118">
        <f t="shared" si="0"/>
        <v>0.2</v>
      </c>
      <c r="Y20" s="121">
        <f t="shared" si="0"/>
        <v>0</v>
      </c>
      <c r="Z20" s="88">
        <f t="shared" si="2"/>
        <v>0.25714285714285712</v>
      </c>
      <c r="AA20" s="118">
        <f t="shared" si="1"/>
        <v>0.36363636363636365</v>
      </c>
      <c r="AB20" s="112">
        <f t="shared" si="1"/>
        <v>0.18181818181818182</v>
      </c>
      <c r="AC20" s="118">
        <f t="shared" si="1"/>
        <v>0.46153846153846156</v>
      </c>
      <c r="AD20" s="90">
        <f t="shared" si="3"/>
        <v>0.33566433566433568</v>
      </c>
      <c r="AE20" s="122"/>
      <c r="AF20" s="123"/>
      <c r="AG20" s="122"/>
      <c r="AH20" s="123"/>
      <c r="AI20" s="122"/>
    </row>
    <row r="21" spans="1:35" s="4" customFormat="1" ht="16.5" thickTop="1">
      <c r="A21" s="1" t="s">
        <v>39</v>
      </c>
      <c r="B21" s="2">
        <v>1</v>
      </c>
      <c r="C21" s="17" t="s">
        <v>36</v>
      </c>
      <c r="D21" s="17" t="s">
        <v>37</v>
      </c>
      <c r="E21" s="17" t="s">
        <v>25</v>
      </c>
      <c r="F21" s="4">
        <v>29</v>
      </c>
      <c r="G21" s="69">
        <v>38</v>
      </c>
      <c r="H21" s="70">
        <v>42</v>
      </c>
      <c r="I21" s="5"/>
      <c r="J21" s="71">
        <v>13</v>
      </c>
      <c r="K21" s="5">
        <v>12</v>
      </c>
      <c r="L21" s="69">
        <v>4</v>
      </c>
      <c r="M21" s="5"/>
      <c r="N21" s="72">
        <v>50</v>
      </c>
      <c r="O21" s="71">
        <v>19</v>
      </c>
      <c r="P21" s="70">
        <v>34</v>
      </c>
      <c r="Q21" s="5"/>
      <c r="R21" s="17">
        <v>17</v>
      </c>
      <c r="S21" s="5">
        <v>12</v>
      </c>
      <c r="T21" s="69">
        <v>20</v>
      </c>
      <c r="U21" s="73" t="s">
        <v>26</v>
      </c>
      <c r="V21" s="4" t="s">
        <v>40</v>
      </c>
      <c r="W21" s="61">
        <f t="shared" si="0"/>
        <v>0.30952380952380953</v>
      </c>
      <c r="X21" s="62">
        <f t="shared" si="0"/>
        <v>0.24</v>
      </c>
      <c r="Y21" s="63">
        <f t="shared" si="0"/>
        <v>8.6956521739130432E-2</v>
      </c>
      <c r="Z21" s="64">
        <f t="shared" si="2"/>
        <v>0.21216011042097996</v>
      </c>
      <c r="AA21" s="62">
        <f t="shared" si="1"/>
        <v>0.2537313432835821</v>
      </c>
      <c r="AB21" s="65">
        <f t="shared" si="1"/>
        <v>0.38709677419354838</v>
      </c>
      <c r="AC21" s="62">
        <f t="shared" si="1"/>
        <v>0.37037037037037035</v>
      </c>
      <c r="AD21" s="66">
        <f t="shared" si="3"/>
        <v>0.33706616261583361</v>
      </c>
      <c r="AE21" s="74">
        <v>1</v>
      </c>
      <c r="AF21" s="14">
        <v>0</v>
      </c>
      <c r="AG21" s="74">
        <v>0</v>
      </c>
      <c r="AH21" s="14">
        <v>1</v>
      </c>
      <c r="AI21" s="74">
        <v>0</v>
      </c>
    </row>
    <row r="22" spans="1:35" s="4" customFormat="1">
      <c r="A22" s="1"/>
      <c r="B22" s="2"/>
      <c r="C22" s="17"/>
      <c r="D22" s="17"/>
      <c r="E22" s="17" t="s">
        <v>28</v>
      </c>
      <c r="F22" s="4">
        <v>33</v>
      </c>
      <c r="G22" s="69">
        <v>26</v>
      </c>
      <c r="H22" s="70">
        <v>43</v>
      </c>
      <c r="I22" s="5"/>
      <c r="J22" s="71">
        <v>10</v>
      </c>
      <c r="K22" s="5">
        <v>5</v>
      </c>
      <c r="L22" s="69">
        <v>13</v>
      </c>
      <c r="M22" s="5"/>
      <c r="N22" s="72">
        <v>32</v>
      </c>
      <c r="O22" s="71">
        <v>39</v>
      </c>
      <c r="P22" s="70">
        <v>27</v>
      </c>
      <c r="Q22" s="5"/>
      <c r="R22" s="17">
        <v>12</v>
      </c>
      <c r="S22" s="5">
        <v>12</v>
      </c>
      <c r="T22" s="69">
        <v>10</v>
      </c>
      <c r="U22" s="73"/>
      <c r="W22" s="61">
        <f t="shared" si="0"/>
        <v>0.23255813953488372</v>
      </c>
      <c r="X22" s="62">
        <f t="shared" si="0"/>
        <v>0.16129032258064516</v>
      </c>
      <c r="Y22" s="63">
        <f t="shared" si="0"/>
        <v>0.23214285714285715</v>
      </c>
      <c r="Z22" s="64">
        <f t="shared" si="2"/>
        <v>0.20866377308612868</v>
      </c>
      <c r="AA22" s="62">
        <f t="shared" si="1"/>
        <v>0.27272727272727271</v>
      </c>
      <c r="AB22" s="65">
        <f t="shared" si="1"/>
        <v>0.23529411764705882</v>
      </c>
      <c r="AC22" s="62">
        <f t="shared" si="1"/>
        <v>0.27027027027027029</v>
      </c>
      <c r="AD22" s="66">
        <f t="shared" si="3"/>
        <v>0.2594305535482006</v>
      </c>
      <c r="AE22" s="74"/>
      <c r="AF22" s="14"/>
      <c r="AG22" s="74"/>
      <c r="AH22" s="14"/>
      <c r="AI22" s="74"/>
    </row>
    <row r="23" spans="1:35" s="4" customFormat="1">
      <c r="A23" s="1"/>
      <c r="B23" s="2"/>
      <c r="C23" s="17"/>
      <c r="D23" s="17"/>
      <c r="E23" s="17" t="s">
        <v>29</v>
      </c>
      <c r="F23" s="4">
        <v>30</v>
      </c>
      <c r="G23" s="69">
        <v>34</v>
      </c>
      <c r="H23" s="70">
        <v>29</v>
      </c>
      <c r="I23" s="5"/>
      <c r="J23" s="71">
        <v>6</v>
      </c>
      <c r="K23" s="5">
        <v>11</v>
      </c>
      <c r="L23" s="69">
        <v>18</v>
      </c>
      <c r="M23" s="5"/>
      <c r="N23" s="72">
        <v>69</v>
      </c>
      <c r="O23" s="71">
        <v>45</v>
      </c>
      <c r="P23" s="70">
        <v>44</v>
      </c>
      <c r="Q23" s="5"/>
      <c r="R23" s="17">
        <v>20</v>
      </c>
      <c r="S23" s="5">
        <v>14</v>
      </c>
      <c r="T23" s="69">
        <v>15</v>
      </c>
      <c r="U23" s="73"/>
      <c r="W23" s="61">
        <f t="shared" si="0"/>
        <v>0.16666666666666666</v>
      </c>
      <c r="X23" s="62">
        <f t="shared" si="0"/>
        <v>0.24444444444444444</v>
      </c>
      <c r="Y23" s="63">
        <f t="shared" si="0"/>
        <v>0.38297872340425532</v>
      </c>
      <c r="Z23" s="64">
        <f t="shared" si="2"/>
        <v>0.26469661150512214</v>
      </c>
      <c r="AA23" s="62">
        <f t="shared" si="1"/>
        <v>0.2247191011235955</v>
      </c>
      <c r="AB23" s="65">
        <f t="shared" si="1"/>
        <v>0.23728813559322035</v>
      </c>
      <c r="AC23" s="62">
        <f t="shared" si="1"/>
        <v>0.25423728813559321</v>
      </c>
      <c r="AD23" s="66">
        <f t="shared" si="3"/>
        <v>0.23874817495080303</v>
      </c>
      <c r="AE23" s="74"/>
      <c r="AF23" s="14"/>
      <c r="AG23" s="74"/>
      <c r="AH23" s="14"/>
      <c r="AI23" s="74"/>
    </row>
    <row r="24" spans="1:35" s="78" customFormat="1">
      <c r="A24" s="75"/>
      <c r="B24" s="76"/>
      <c r="C24" s="124"/>
      <c r="D24" s="124"/>
      <c r="E24" s="77" t="s">
        <v>30</v>
      </c>
      <c r="F24" s="78">
        <v>28</v>
      </c>
      <c r="G24" s="79">
        <v>24</v>
      </c>
      <c r="H24" s="80">
        <v>21</v>
      </c>
      <c r="I24" s="81"/>
      <c r="J24" s="82">
        <v>12</v>
      </c>
      <c r="K24" s="81">
        <v>19</v>
      </c>
      <c r="L24" s="79">
        <v>13</v>
      </c>
      <c r="M24" s="81"/>
      <c r="N24" s="83">
        <v>49</v>
      </c>
      <c r="O24" s="82">
        <v>37</v>
      </c>
      <c r="P24" s="80">
        <v>22</v>
      </c>
      <c r="Q24" s="81"/>
      <c r="R24" s="77">
        <v>30</v>
      </c>
      <c r="S24" s="81">
        <v>18</v>
      </c>
      <c r="T24" s="79">
        <v>8</v>
      </c>
      <c r="U24" s="84"/>
      <c r="W24" s="85">
        <f t="shared" si="0"/>
        <v>0.3</v>
      </c>
      <c r="X24" s="86">
        <f t="shared" si="0"/>
        <v>0.44186046511627908</v>
      </c>
      <c r="Y24" s="87">
        <f t="shared" si="0"/>
        <v>0.38235294117647056</v>
      </c>
      <c r="Z24" s="88">
        <f t="shared" si="2"/>
        <v>0.37473780209758317</v>
      </c>
      <c r="AA24" s="86">
        <f t="shared" si="1"/>
        <v>0.379746835443038</v>
      </c>
      <c r="AB24" s="125">
        <f t="shared" si="1"/>
        <v>0.32727272727272727</v>
      </c>
      <c r="AC24" s="86">
        <f t="shared" si="1"/>
        <v>0.26666666666666666</v>
      </c>
      <c r="AD24" s="90">
        <f t="shared" si="3"/>
        <v>0.32456207646081064</v>
      </c>
      <c r="AE24" s="91"/>
      <c r="AF24" s="92"/>
      <c r="AG24" s="91"/>
      <c r="AH24" s="92"/>
      <c r="AI24" s="91"/>
    </row>
    <row r="25" spans="1:35" s="65" customFormat="1">
      <c r="A25" s="1"/>
      <c r="B25" s="2">
        <v>2</v>
      </c>
      <c r="C25" s="126" t="s">
        <v>41</v>
      </c>
      <c r="D25" s="126" t="s">
        <v>24</v>
      </c>
      <c r="E25" s="17" t="s">
        <v>25</v>
      </c>
      <c r="F25" s="127" t="s">
        <v>42</v>
      </c>
      <c r="G25" s="128" t="s">
        <v>42</v>
      </c>
      <c r="H25" s="129" t="s">
        <v>42</v>
      </c>
      <c r="I25" s="130"/>
      <c r="J25" s="131" t="s">
        <v>43</v>
      </c>
      <c r="K25" s="132" t="s">
        <v>43</v>
      </c>
      <c r="L25" s="128" t="s">
        <v>43</v>
      </c>
      <c r="M25" s="130"/>
      <c r="N25" s="133" t="s">
        <v>42</v>
      </c>
      <c r="O25" s="96">
        <f>(O21+39)/2</f>
        <v>29</v>
      </c>
      <c r="P25" s="129" t="s">
        <v>42</v>
      </c>
      <c r="Q25" s="130"/>
      <c r="R25" s="134" t="s">
        <v>43</v>
      </c>
      <c r="S25" s="95">
        <v>2</v>
      </c>
      <c r="T25" s="135" t="s">
        <v>43</v>
      </c>
      <c r="U25" s="136" t="s">
        <v>34</v>
      </c>
      <c r="V25" s="65" t="s">
        <v>35</v>
      </c>
      <c r="W25" s="133" t="s">
        <v>43</v>
      </c>
      <c r="X25" s="128" t="s">
        <v>43</v>
      </c>
      <c r="Y25" s="129" t="s">
        <v>43</v>
      </c>
      <c r="Z25" s="137"/>
      <c r="AA25" s="134" t="s">
        <v>43</v>
      </c>
      <c r="AB25" s="138">
        <f>S25/(O25+S25)</f>
        <v>6.4516129032258063E-2</v>
      </c>
      <c r="AC25" s="135" t="s">
        <v>43</v>
      </c>
      <c r="AD25" s="66">
        <f t="shared" si="3"/>
        <v>6.4516129032258063E-2</v>
      </c>
      <c r="AE25" s="99">
        <v>0</v>
      </c>
      <c r="AF25" s="100">
        <v>0</v>
      </c>
      <c r="AG25" s="99">
        <v>1</v>
      </c>
      <c r="AH25" s="100">
        <v>0</v>
      </c>
      <c r="AI25" s="99">
        <v>0</v>
      </c>
    </row>
    <row r="26" spans="1:35" s="65" customFormat="1">
      <c r="A26" s="1"/>
      <c r="B26" s="2"/>
      <c r="C26" s="17"/>
      <c r="D26" s="17"/>
      <c r="E26" s="17" t="s">
        <v>28</v>
      </c>
      <c r="F26" s="127" t="s">
        <v>42</v>
      </c>
      <c r="G26" s="128" t="s">
        <v>42</v>
      </c>
      <c r="H26" s="129" t="s">
        <v>42</v>
      </c>
      <c r="I26" s="130"/>
      <c r="J26" s="131" t="s">
        <v>43</v>
      </c>
      <c r="K26" s="132" t="s">
        <v>43</v>
      </c>
      <c r="L26" s="128" t="s">
        <v>43</v>
      </c>
      <c r="M26" s="130"/>
      <c r="N26" s="133" t="s">
        <v>42</v>
      </c>
      <c r="O26" s="96">
        <f>(O22+27)/2</f>
        <v>33</v>
      </c>
      <c r="P26" s="129" t="s">
        <v>42</v>
      </c>
      <c r="Q26" s="130"/>
      <c r="R26" s="134" t="s">
        <v>43</v>
      </c>
      <c r="S26" s="95">
        <v>0</v>
      </c>
      <c r="T26" s="135" t="s">
        <v>43</v>
      </c>
      <c r="U26" s="136"/>
      <c r="W26" s="133" t="s">
        <v>43</v>
      </c>
      <c r="X26" s="128" t="s">
        <v>43</v>
      </c>
      <c r="Y26" s="129" t="s">
        <v>43</v>
      </c>
      <c r="Z26" s="139"/>
      <c r="AA26" s="134" t="s">
        <v>43</v>
      </c>
      <c r="AB26" s="138">
        <f>S26/(O26+S26)</f>
        <v>0</v>
      </c>
      <c r="AC26" s="135" t="s">
        <v>43</v>
      </c>
      <c r="AD26" s="66">
        <f t="shared" si="3"/>
        <v>0</v>
      </c>
      <c r="AE26" s="99"/>
      <c r="AF26" s="100"/>
      <c r="AG26" s="99"/>
      <c r="AH26" s="100"/>
      <c r="AI26" s="99"/>
    </row>
    <row r="27" spans="1:35" s="65" customFormat="1">
      <c r="A27" s="1"/>
      <c r="B27" s="2"/>
      <c r="C27" s="17"/>
      <c r="D27" s="17"/>
      <c r="E27" s="17" t="s">
        <v>29</v>
      </c>
      <c r="F27" s="127" t="s">
        <v>42</v>
      </c>
      <c r="G27" s="128" t="s">
        <v>42</v>
      </c>
      <c r="H27" s="129" t="s">
        <v>42</v>
      </c>
      <c r="I27" s="130"/>
      <c r="J27" s="131" t="s">
        <v>43</v>
      </c>
      <c r="K27" s="132" t="s">
        <v>43</v>
      </c>
      <c r="L27" s="128" t="s">
        <v>43</v>
      </c>
      <c r="M27" s="130"/>
      <c r="N27" s="133" t="s">
        <v>42</v>
      </c>
      <c r="O27" s="96">
        <f>(O23+64)/2</f>
        <v>54.5</v>
      </c>
      <c r="P27" s="129" t="s">
        <v>42</v>
      </c>
      <c r="Q27" s="130"/>
      <c r="R27" s="134" t="s">
        <v>43</v>
      </c>
      <c r="S27" s="95">
        <v>0</v>
      </c>
      <c r="T27" s="135" t="s">
        <v>43</v>
      </c>
      <c r="U27" s="136"/>
      <c r="W27" s="133" t="s">
        <v>43</v>
      </c>
      <c r="X27" s="128" t="s">
        <v>43</v>
      </c>
      <c r="Y27" s="129" t="s">
        <v>43</v>
      </c>
      <c r="Z27" s="139"/>
      <c r="AA27" s="134" t="s">
        <v>43</v>
      </c>
      <c r="AB27" s="138">
        <f>S27/(O27+S27)</f>
        <v>0</v>
      </c>
      <c r="AC27" s="135" t="s">
        <v>43</v>
      </c>
      <c r="AD27" s="66">
        <f t="shared" si="3"/>
        <v>0</v>
      </c>
      <c r="AE27" s="99"/>
      <c r="AF27" s="100"/>
      <c r="AG27" s="99"/>
      <c r="AH27" s="100"/>
      <c r="AI27" s="99"/>
    </row>
    <row r="28" spans="1:35" s="89" customFormat="1">
      <c r="A28" s="75"/>
      <c r="B28" s="76"/>
      <c r="C28" s="77"/>
      <c r="D28" s="77"/>
      <c r="E28" s="77" t="s">
        <v>30</v>
      </c>
      <c r="F28" s="140" t="s">
        <v>42</v>
      </c>
      <c r="G28" s="141" t="s">
        <v>42</v>
      </c>
      <c r="H28" s="142" t="s">
        <v>42</v>
      </c>
      <c r="I28" s="143"/>
      <c r="J28" s="144" t="s">
        <v>43</v>
      </c>
      <c r="K28" s="145" t="s">
        <v>43</v>
      </c>
      <c r="L28" s="141" t="s">
        <v>43</v>
      </c>
      <c r="M28" s="143"/>
      <c r="N28" s="146" t="s">
        <v>42</v>
      </c>
      <c r="O28" s="104">
        <f>(O24+28)/2</f>
        <v>32.5</v>
      </c>
      <c r="P28" s="142" t="s">
        <v>42</v>
      </c>
      <c r="Q28" s="143"/>
      <c r="R28" s="147" t="s">
        <v>43</v>
      </c>
      <c r="S28" s="103">
        <v>0</v>
      </c>
      <c r="T28" s="148" t="s">
        <v>43</v>
      </c>
      <c r="U28" s="149"/>
      <c r="W28" s="146" t="s">
        <v>43</v>
      </c>
      <c r="X28" s="141" t="s">
        <v>43</v>
      </c>
      <c r="Y28" s="142" t="s">
        <v>43</v>
      </c>
      <c r="Z28" s="88"/>
      <c r="AA28" s="147" t="s">
        <v>43</v>
      </c>
      <c r="AB28" s="150">
        <f>S28/(O28+S28)</f>
        <v>0</v>
      </c>
      <c r="AC28" s="148" t="s">
        <v>43</v>
      </c>
      <c r="AD28" s="90">
        <f t="shared" si="3"/>
        <v>0</v>
      </c>
      <c r="AE28" s="107"/>
      <c r="AF28" s="108"/>
      <c r="AG28" s="107"/>
      <c r="AH28" s="108"/>
      <c r="AI28" s="107"/>
    </row>
    <row r="29" spans="1:35" s="4" customFormat="1">
      <c r="A29" s="1"/>
      <c r="B29" s="151" t="s">
        <v>44</v>
      </c>
      <c r="C29" s="126" t="s">
        <v>41</v>
      </c>
      <c r="D29" s="126" t="s">
        <v>24</v>
      </c>
      <c r="E29" s="17" t="s">
        <v>25</v>
      </c>
      <c r="F29" s="152" t="s">
        <v>42</v>
      </c>
      <c r="G29" s="69">
        <f>((12+38)/2+58+58+87+80+29+76+28+55+97+63+23+96+78+73+53+31+31+10+40+30+73)/22</f>
        <v>54.272727272727273</v>
      </c>
      <c r="H29" s="70">
        <f>((42+4)/2+77+46+100+85+35+72+42+78+114+88+26+122+96+81+59+40+45+12+54+32+109)/22</f>
        <v>65.272727272727266</v>
      </c>
      <c r="I29" s="5"/>
      <c r="J29" s="153" t="s">
        <v>43</v>
      </c>
      <c r="K29" s="5">
        <v>2</v>
      </c>
      <c r="L29" s="69">
        <v>2</v>
      </c>
      <c r="M29" s="5"/>
      <c r="N29" s="72">
        <f>(((17+50)/2)+71+50+115+103+42+75+32+86+110+65+35+128+97+64+46+47+46+15+38+41+96)/22</f>
        <v>65.25</v>
      </c>
      <c r="O29" s="154" t="s">
        <v>42</v>
      </c>
      <c r="P29" s="70">
        <f>((34+20)/2+59+48+124+107+29+67+42+82+148+104+30+117+90+78+41+46+43+10+48+32+100)/22</f>
        <v>66.909090909090907</v>
      </c>
      <c r="Q29" s="5"/>
      <c r="R29" s="17">
        <v>3</v>
      </c>
      <c r="S29" s="155" t="s">
        <v>43</v>
      </c>
      <c r="T29" s="69">
        <v>0</v>
      </c>
      <c r="U29" s="73" t="s">
        <v>34</v>
      </c>
      <c r="V29" s="4" t="s">
        <v>45</v>
      </c>
      <c r="W29" s="133" t="s">
        <v>43</v>
      </c>
      <c r="X29" s="62">
        <f t="shared" ref="X29:Y40" si="4">K29/(G29+K29)</f>
        <v>3.5541195476575117E-2</v>
      </c>
      <c r="Y29" s="63">
        <f t="shared" si="4"/>
        <v>2.9729729729729731E-2</v>
      </c>
      <c r="Z29" s="64">
        <f>AVERAGE(W29:Y29)</f>
        <v>3.2635462603152421E-2</v>
      </c>
      <c r="AA29" s="62">
        <f>R29/(N29+R29)</f>
        <v>4.3956043956043959E-2</v>
      </c>
      <c r="AB29" s="127" t="s">
        <v>43</v>
      </c>
      <c r="AC29" s="62">
        <f t="shared" ref="AC29:AC40" si="5">T29/(P29+T29)</f>
        <v>0</v>
      </c>
      <c r="AD29" s="66">
        <f t="shared" si="3"/>
        <v>2.197802197802198E-2</v>
      </c>
      <c r="AE29" s="74">
        <v>1</v>
      </c>
      <c r="AF29" s="14">
        <v>0</v>
      </c>
      <c r="AG29" s="74">
        <v>0</v>
      </c>
      <c r="AH29" s="14">
        <v>0</v>
      </c>
      <c r="AI29" s="74">
        <v>0</v>
      </c>
    </row>
    <row r="30" spans="1:35" s="4" customFormat="1">
      <c r="A30" s="1"/>
      <c r="B30" s="2"/>
      <c r="C30" s="17"/>
      <c r="D30" s="17"/>
      <c r="E30" s="17" t="s">
        <v>28</v>
      </c>
      <c r="F30" s="152" t="s">
        <v>42</v>
      </c>
      <c r="G30" s="69">
        <f>((26+5)/2+55+43+105+81+24+59+31+60+96+89+20+95+85+56+54+40+31+15+47+34+81)/22</f>
        <v>55.295454545454547</v>
      </c>
      <c r="H30" s="70">
        <f>((43+13)/2+61 +57+92+78+37+86+31+49+92+73+20+84+74+72+39+30+38+16+42+36+79)/22</f>
        <v>55.18181818181818</v>
      </c>
      <c r="I30" s="5"/>
      <c r="J30" s="153" t="s">
        <v>43</v>
      </c>
      <c r="K30" s="5">
        <v>0</v>
      </c>
      <c r="L30" s="69">
        <v>3</v>
      </c>
      <c r="M30" s="5"/>
      <c r="N30" s="72">
        <f>(((32+12)/2)+22+40+102+58+24+91+44+82+60+51+16+110+65+83+35+44+35+19+30+52+63)/22</f>
        <v>52.18181818181818</v>
      </c>
      <c r="O30" s="154" t="s">
        <v>42</v>
      </c>
      <c r="P30" s="70">
        <f>((27+10)/2+18+48+80+51+20+87+36+68+72+51+17+82+58+68+42+49+29+25+25+50+49)/22</f>
        <v>47.43181818181818</v>
      </c>
      <c r="Q30" s="5"/>
      <c r="R30" s="17">
        <v>0</v>
      </c>
      <c r="S30" s="155" t="s">
        <v>43</v>
      </c>
      <c r="T30" s="69">
        <v>0</v>
      </c>
      <c r="U30" s="73"/>
      <c r="W30" s="133" t="s">
        <v>43</v>
      </c>
      <c r="X30" s="62">
        <f t="shared" si="4"/>
        <v>0</v>
      </c>
      <c r="Y30" s="63">
        <f t="shared" si="4"/>
        <v>5.1562500000000004E-2</v>
      </c>
      <c r="Z30" s="64">
        <f t="shared" si="2"/>
        <v>2.5781250000000002E-2</v>
      </c>
      <c r="AA30" s="62">
        <f>R30/(N30+R30)</f>
        <v>0</v>
      </c>
      <c r="AB30" s="127" t="s">
        <v>43</v>
      </c>
      <c r="AC30" s="62">
        <f t="shared" si="5"/>
        <v>0</v>
      </c>
      <c r="AD30" s="66">
        <f t="shared" si="3"/>
        <v>0</v>
      </c>
      <c r="AE30" s="74"/>
      <c r="AF30" s="14"/>
      <c r="AG30" s="74"/>
      <c r="AH30" s="14"/>
      <c r="AI30" s="74"/>
    </row>
    <row r="31" spans="1:35" s="4" customFormat="1">
      <c r="A31" s="1"/>
      <c r="B31" s="2"/>
      <c r="C31" s="17"/>
      <c r="D31" s="17"/>
      <c r="E31" s="17" t="s">
        <v>29</v>
      </c>
      <c r="F31" s="152" t="s">
        <v>42</v>
      </c>
      <c r="G31" s="69">
        <f>((34+11)/2+21+49+113+63+29+99+47+101+67+44+15+118+103+93+52+42+37+25+34+50+64)/22</f>
        <v>58.56818181818182</v>
      </c>
      <c r="H31" s="70">
        <f>((18+29)/2+20+54+97+77+20+88+51+81+70+36+16+108+73+93+50+36+29+23+34+47+66)/22</f>
        <v>54.204545454545453</v>
      </c>
      <c r="I31" s="5"/>
      <c r="J31" s="153" t="s">
        <v>43</v>
      </c>
      <c r="K31" s="5">
        <v>0</v>
      </c>
      <c r="L31" s="69">
        <v>0</v>
      </c>
      <c r="M31" s="5"/>
      <c r="N31" s="72">
        <f>(((69+20)/2)+75+68+164+148+61+90+60+118+163+133+44+136+118+100+88+71+66+27+71+65+138)/22</f>
        <v>93.11363636363636</v>
      </c>
      <c r="O31" s="154" t="s">
        <v>42</v>
      </c>
      <c r="P31" s="70">
        <f>((44+15)/2+74+60+87+112+49+66+38+77+126+87+23+120+87+79+55+52+34+11+58+34+130)/22</f>
        <v>67.659090909090907</v>
      </c>
      <c r="Q31" s="5"/>
      <c r="R31" s="17">
        <v>4</v>
      </c>
      <c r="S31" s="155" t="s">
        <v>43</v>
      </c>
      <c r="T31" s="69">
        <v>1</v>
      </c>
      <c r="U31" s="73"/>
      <c r="W31" s="133" t="s">
        <v>43</v>
      </c>
      <c r="X31" s="62">
        <f t="shared" si="4"/>
        <v>0</v>
      </c>
      <c r="Y31" s="63">
        <f t="shared" si="4"/>
        <v>0</v>
      </c>
      <c r="Z31" s="64">
        <f t="shared" si="2"/>
        <v>0</v>
      </c>
      <c r="AA31" s="62">
        <f>R31/(N31+R31)</f>
        <v>4.118886028551369E-2</v>
      </c>
      <c r="AB31" s="127" t="s">
        <v>43</v>
      </c>
      <c r="AC31" s="62">
        <f t="shared" si="5"/>
        <v>1.4564713670969879E-2</v>
      </c>
      <c r="AD31" s="66">
        <f t="shared" si="3"/>
        <v>2.7876786978241783E-2</v>
      </c>
      <c r="AE31" s="74"/>
      <c r="AF31" s="14"/>
      <c r="AG31" s="74"/>
      <c r="AH31" s="14"/>
      <c r="AI31" s="74"/>
    </row>
    <row r="32" spans="1:35" s="78" customFormat="1">
      <c r="A32" s="75"/>
      <c r="B32" s="76"/>
      <c r="C32" s="77"/>
      <c r="D32" s="77"/>
      <c r="E32" s="77" t="s">
        <v>30</v>
      </c>
      <c r="F32" s="156" t="s">
        <v>42</v>
      </c>
      <c r="G32" s="79">
        <f>((19+24)/2+20+58+99+63+18+97+41+88+65+38+27+106+79+78+36+44+27+21+42+58+61)/22</f>
        <v>53.977272727272727</v>
      </c>
      <c r="H32" s="80">
        <f>((13+21)/2+11+34+73+43+17+68+40+64+45+38+20+85+52+50+35+23+19+21+18+26+56)/22</f>
        <v>38.863636363636367</v>
      </c>
      <c r="I32" s="81"/>
      <c r="J32" s="157" t="s">
        <v>43</v>
      </c>
      <c r="K32" s="81">
        <v>0</v>
      </c>
      <c r="L32" s="79">
        <v>0</v>
      </c>
      <c r="M32" s="81"/>
      <c r="N32" s="83">
        <f>(((30+49)/2)+52+79+170+117+50+194+91+144+135+77+21+182+113+103+70+77+42+32+61+76+111)/22</f>
        <v>92.568181818181813</v>
      </c>
      <c r="O32" s="158" t="s">
        <v>42</v>
      </c>
      <c r="P32" s="80">
        <f>((22+8)/2+31+50+114+60+24+123+44+82+100+59+20+125+69+97+41+44+26+21+45+53+62)/22</f>
        <v>59.31818181818182</v>
      </c>
      <c r="Q32" s="81"/>
      <c r="R32" s="77">
        <v>0</v>
      </c>
      <c r="S32" s="159" t="s">
        <v>43</v>
      </c>
      <c r="T32" s="79">
        <v>0</v>
      </c>
      <c r="U32" s="84"/>
      <c r="W32" s="146" t="s">
        <v>43</v>
      </c>
      <c r="X32" s="86">
        <f t="shared" si="4"/>
        <v>0</v>
      </c>
      <c r="Y32" s="87">
        <f t="shared" si="4"/>
        <v>0</v>
      </c>
      <c r="Z32" s="88">
        <f t="shared" si="2"/>
        <v>0</v>
      </c>
      <c r="AA32" s="86">
        <f>R32/(N32+R32)</f>
        <v>0</v>
      </c>
      <c r="AB32" s="140" t="s">
        <v>43</v>
      </c>
      <c r="AC32" s="86">
        <f t="shared" si="5"/>
        <v>0</v>
      </c>
      <c r="AD32" s="90">
        <f t="shared" si="3"/>
        <v>0</v>
      </c>
      <c r="AE32" s="91"/>
      <c r="AF32" s="92"/>
      <c r="AG32" s="91"/>
      <c r="AH32" s="92"/>
      <c r="AI32" s="91"/>
    </row>
    <row r="33" spans="1:35" s="65" customFormat="1">
      <c r="A33" s="1" t="s">
        <v>46</v>
      </c>
      <c r="B33" s="2">
        <v>3</v>
      </c>
      <c r="C33" s="17" t="s">
        <v>23</v>
      </c>
      <c r="D33" s="126" t="s">
        <v>24</v>
      </c>
      <c r="E33" s="17" t="s">
        <v>25</v>
      </c>
      <c r="F33" s="127">
        <f>(44+60)/2</f>
        <v>52</v>
      </c>
      <c r="G33" s="128" t="s">
        <v>42</v>
      </c>
      <c r="H33" s="129">
        <f>(46+77)/2</f>
        <v>61.5</v>
      </c>
      <c r="I33" s="130"/>
      <c r="J33" s="131">
        <v>0</v>
      </c>
      <c r="K33" s="132" t="s">
        <v>43</v>
      </c>
      <c r="L33" s="128">
        <v>0</v>
      </c>
      <c r="M33" s="130"/>
      <c r="N33" s="133" t="s">
        <v>42</v>
      </c>
      <c r="O33" s="134" t="s">
        <v>42</v>
      </c>
      <c r="P33" s="160">
        <f>(59+48)/2</f>
        <v>53.5</v>
      </c>
      <c r="Q33" s="132"/>
      <c r="R33" s="134" t="s">
        <v>43</v>
      </c>
      <c r="S33" s="130" t="s">
        <v>43</v>
      </c>
      <c r="T33" s="128">
        <v>0</v>
      </c>
      <c r="U33" s="161" t="s">
        <v>26</v>
      </c>
      <c r="V33" s="65" t="s">
        <v>47</v>
      </c>
      <c r="W33" s="61">
        <f>J33/(F33+J33)</f>
        <v>0</v>
      </c>
      <c r="X33" s="134" t="s">
        <v>43</v>
      </c>
      <c r="Y33" s="63">
        <f t="shared" si="4"/>
        <v>0</v>
      </c>
      <c r="Z33" s="64">
        <f t="shared" si="2"/>
        <v>0</v>
      </c>
      <c r="AA33" s="134" t="s">
        <v>43</v>
      </c>
      <c r="AB33" s="127" t="s">
        <v>43</v>
      </c>
      <c r="AC33" s="62">
        <f t="shared" si="5"/>
        <v>0</v>
      </c>
      <c r="AD33" s="66">
        <f t="shared" si="3"/>
        <v>0</v>
      </c>
      <c r="AE33" s="99">
        <v>1</v>
      </c>
      <c r="AF33" s="100">
        <v>0</v>
      </c>
      <c r="AG33" s="99">
        <v>0</v>
      </c>
      <c r="AH33" s="100">
        <v>0</v>
      </c>
      <c r="AI33" s="99">
        <v>0</v>
      </c>
    </row>
    <row r="34" spans="1:35" s="65" customFormat="1">
      <c r="A34" s="1"/>
      <c r="B34" s="2"/>
      <c r="C34" s="17"/>
      <c r="D34" s="17"/>
      <c r="E34" s="17" t="s">
        <v>28</v>
      </c>
      <c r="F34" s="127">
        <f>(72+59)/2</f>
        <v>65.5</v>
      </c>
      <c r="G34" s="128" t="s">
        <v>42</v>
      </c>
      <c r="H34" s="129">
        <f>(57+61)/2</f>
        <v>59</v>
      </c>
      <c r="I34" s="130"/>
      <c r="J34" s="131">
        <v>0</v>
      </c>
      <c r="K34" s="132" t="s">
        <v>43</v>
      </c>
      <c r="L34" s="128">
        <v>1</v>
      </c>
      <c r="M34" s="130"/>
      <c r="N34" s="133" t="s">
        <v>42</v>
      </c>
      <c r="O34" s="134" t="s">
        <v>42</v>
      </c>
      <c r="P34" s="160">
        <f>(18+48)/2</f>
        <v>33</v>
      </c>
      <c r="Q34" s="132"/>
      <c r="R34" s="134" t="s">
        <v>43</v>
      </c>
      <c r="S34" s="130" t="s">
        <v>43</v>
      </c>
      <c r="T34" s="128">
        <v>1</v>
      </c>
      <c r="U34" s="161"/>
      <c r="W34" s="61">
        <f>J34/(F34+J34)</f>
        <v>0</v>
      </c>
      <c r="X34" s="134" t="s">
        <v>43</v>
      </c>
      <c r="Y34" s="63">
        <f t="shared" si="4"/>
        <v>1.6666666666666666E-2</v>
      </c>
      <c r="Z34" s="64">
        <f t="shared" si="2"/>
        <v>8.3333333333333332E-3</v>
      </c>
      <c r="AA34" s="134" t="s">
        <v>43</v>
      </c>
      <c r="AB34" s="127" t="s">
        <v>43</v>
      </c>
      <c r="AC34" s="62">
        <f t="shared" si="5"/>
        <v>2.9411764705882353E-2</v>
      </c>
      <c r="AD34" s="66">
        <f t="shared" si="3"/>
        <v>2.9411764705882353E-2</v>
      </c>
      <c r="AE34" s="99"/>
      <c r="AF34" s="100"/>
      <c r="AG34" s="99"/>
      <c r="AH34" s="100"/>
      <c r="AI34" s="99"/>
    </row>
    <row r="35" spans="1:35" s="65" customFormat="1">
      <c r="A35" s="1"/>
      <c r="B35" s="2"/>
      <c r="C35" s="17"/>
      <c r="D35" s="17"/>
      <c r="E35" s="17" t="s">
        <v>29</v>
      </c>
      <c r="F35" s="127">
        <f>(12+41)/2</f>
        <v>26.5</v>
      </c>
      <c r="G35" s="128" t="s">
        <v>42</v>
      </c>
      <c r="H35" s="129">
        <f>(54+20)/2</f>
        <v>37</v>
      </c>
      <c r="I35" s="130"/>
      <c r="J35" s="131">
        <v>1</v>
      </c>
      <c r="K35" s="132" t="s">
        <v>43</v>
      </c>
      <c r="L35" s="128">
        <v>0</v>
      </c>
      <c r="M35" s="130"/>
      <c r="N35" s="133" t="s">
        <v>42</v>
      </c>
      <c r="O35" s="134" t="s">
        <v>42</v>
      </c>
      <c r="P35" s="160">
        <f>(50+74)/2</f>
        <v>62</v>
      </c>
      <c r="Q35" s="132"/>
      <c r="R35" s="134" t="s">
        <v>43</v>
      </c>
      <c r="S35" s="130" t="s">
        <v>43</v>
      </c>
      <c r="T35" s="128">
        <v>0</v>
      </c>
      <c r="U35" s="161"/>
      <c r="W35" s="61">
        <f>J35/(F35+J35)</f>
        <v>3.6363636363636362E-2</v>
      </c>
      <c r="X35" s="134" t="s">
        <v>43</v>
      </c>
      <c r="Y35" s="63">
        <f t="shared" si="4"/>
        <v>0</v>
      </c>
      <c r="Z35" s="64">
        <f t="shared" si="2"/>
        <v>1.8181818181818181E-2</v>
      </c>
      <c r="AA35" s="134" t="s">
        <v>43</v>
      </c>
      <c r="AB35" s="127" t="s">
        <v>43</v>
      </c>
      <c r="AC35" s="62">
        <f t="shared" si="5"/>
        <v>0</v>
      </c>
      <c r="AD35" s="66">
        <f t="shared" si="3"/>
        <v>0</v>
      </c>
      <c r="AE35" s="99"/>
      <c r="AF35" s="100"/>
      <c r="AG35" s="99"/>
      <c r="AH35" s="100"/>
      <c r="AI35" s="99"/>
    </row>
    <row r="36" spans="1:35" s="89" customFormat="1">
      <c r="A36" s="75"/>
      <c r="B36" s="76"/>
      <c r="C36" s="77"/>
      <c r="D36" s="77"/>
      <c r="E36" s="77" t="s">
        <v>30</v>
      </c>
      <c r="F36" s="140">
        <f>(23+53)/2</f>
        <v>38</v>
      </c>
      <c r="G36" s="141" t="s">
        <v>42</v>
      </c>
      <c r="H36" s="142">
        <f>(34+11)/2</f>
        <v>22.5</v>
      </c>
      <c r="I36" s="143"/>
      <c r="J36" s="144">
        <v>0</v>
      </c>
      <c r="K36" s="145" t="s">
        <v>43</v>
      </c>
      <c r="L36" s="141">
        <v>0</v>
      </c>
      <c r="M36" s="143"/>
      <c r="N36" s="146" t="s">
        <v>42</v>
      </c>
      <c r="O36" s="147" t="s">
        <v>42</v>
      </c>
      <c r="P36" s="162">
        <f>(50+31)/2</f>
        <v>40.5</v>
      </c>
      <c r="Q36" s="145"/>
      <c r="R36" s="147" t="s">
        <v>43</v>
      </c>
      <c r="S36" s="143" t="s">
        <v>43</v>
      </c>
      <c r="T36" s="141">
        <v>0</v>
      </c>
      <c r="U36" s="163"/>
      <c r="W36" s="85">
        <f>J36/(F36+J36)</f>
        <v>0</v>
      </c>
      <c r="X36" s="147" t="s">
        <v>43</v>
      </c>
      <c r="Y36" s="87">
        <f t="shared" si="4"/>
        <v>0</v>
      </c>
      <c r="Z36" s="88">
        <f t="shared" si="2"/>
        <v>0</v>
      </c>
      <c r="AA36" s="147" t="s">
        <v>43</v>
      </c>
      <c r="AB36" s="140" t="s">
        <v>43</v>
      </c>
      <c r="AC36" s="86">
        <f t="shared" si="5"/>
        <v>0</v>
      </c>
      <c r="AD36" s="90">
        <f t="shared" si="3"/>
        <v>0</v>
      </c>
      <c r="AE36" s="107"/>
      <c r="AF36" s="108"/>
      <c r="AG36" s="107"/>
      <c r="AH36" s="108"/>
      <c r="AI36" s="107"/>
    </row>
    <row r="37" spans="1:35" s="65" customFormat="1">
      <c r="A37" s="1"/>
      <c r="B37" s="2">
        <v>5</v>
      </c>
      <c r="C37" s="17" t="s">
        <v>31</v>
      </c>
      <c r="D37" s="17" t="s">
        <v>32</v>
      </c>
      <c r="E37" s="17" t="s">
        <v>25</v>
      </c>
      <c r="F37" s="127" t="s">
        <v>42</v>
      </c>
      <c r="G37" s="128" t="s">
        <v>42</v>
      </c>
      <c r="H37" s="94">
        <v>100</v>
      </c>
      <c r="I37" s="95"/>
      <c r="J37" s="131" t="s">
        <v>43</v>
      </c>
      <c r="K37" s="132" t="s">
        <v>43</v>
      </c>
      <c r="L37" s="93">
        <v>0</v>
      </c>
      <c r="M37" s="95"/>
      <c r="N37" s="133" t="s">
        <v>42</v>
      </c>
      <c r="O37" s="96">
        <v>79</v>
      </c>
      <c r="P37" s="94">
        <v>124</v>
      </c>
      <c r="Q37" s="95"/>
      <c r="R37" s="134" t="s">
        <v>43</v>
      </c>
      <c r="S37" s="95">
        <v>2</v>
      </c>
      <c r="T37" s="93">
        <v>0</v>
      </c>
      <c r="U37" s="98" t="s">
        <v>34</v>
      </c>
      <c r="V37" s="4" t="s">
        <v>35</v>
      </c>
      <c r="W37" s="133" t="s">
        <v>43</v>
      </c>
      <c r="X37" s="134" t="s">
        <v>43</v>
      </c>
      <c r="Y37" s="63">
        <f t="shared" si="4"/>
        <v>0</v>
      </c>
      <c r="Z37" s="64">
        <f t="shared" si="2"/>
        <v>0</v>
      </c>
      <c r="AA37" s="134" t="s">
        <v>43</v>
      </c>
      <c r="AB37" s="65">
        <f t="shared" ref="AB37:AC52" si="6">S37/(O37+S37)</f>
        <v>2.4691358024691357E-2</v>
      </c>
      <c r="AC37" s="62">
        <f t="shared" si="5"/>
        <v>0</v>
      </c>
      <c r="AD37" s="66">
        <f t="shared" si="3"/>
        <v>1.2345679012345678E-2</v>
      </c>
      <c r="AE37" s="99">
        <v>1</v>
      </c>
      <c r="AF37" s="100">
        <v>0</v>
      </c>
      <c r="AG37" s="99">
        <v>0</v>
      </c>
      <c r="AH37" s="100">
        <v>0</v>
      </c>
      <c r="AI37" s="99">
        <v>0</v>
      </c>
    </row>
    <row r="38" spans="1:35" s="65" customFormat="1">
      <c r="A38" s="1"/>
      <c r="B38" s="2"/>
      <c r="C38" s="17"/>
      <c r="D38" s="17"/>
      <c r="E38" s="17" t="s">
        <v>28</v>
      </c>
      <c r="F38" s="127" t="s">
        <v>42</v>
      </c>
      <c r="G38" s="128" t="s">
        <v>42</v>
      </c>
      <c r="H38" s="94">
        <v>92</v>
      </c>
      <c r="I38" s="95"/>
      <c r="J38" s="131" t="s">
        <v>43</v>
      </c>
      <c r="K38" s="132" t="s">
        <v>43</v>
      </c>
      <c r="L38" s="93">
        <v>1</v>
      </c>
      <c r="M38" s="95"/>
      <c r="N38" s="133" t="s">
        <v>42</v>
      </c>
      <c r="O38" s="96">
        <v>99</v>
      </c>
      <c r="P38" s="94">
        <v>80</v>
      </c>
      <c r="Q38" s="95"/>
      <c r="R38" s="134" t="s">
        <v>43</v>
      </c>
      <c r="S38" s="95">
        <v>1</v>
      </c>
      <c r="T38" s="93">
        <v>0</v>
      </c>
      <c r="U38" s="98"/>
      <c r="W38" s="133" t="s">
        <v>43</v>
      </c>
      <c r="X38" s="134" t="s">
        <v>43</v>
      </c>
      <c r="Y38" s="63">
        <f t="shared" si="4"/>
        <v>1.0752688172043012E-2</v>
      </c>
      <c r="Z38" s="64">
        <f t="shared" si="2"/>
        <v>1.0752688172043012E-2</v>
      </c>
      <c r="AA38" s="134" t="s">
        <v>43</v>
      </c>
      <c r="AB38" s="65">
        <f t="shared" si="6"/>
        <v>0.01</v>
      </c>
      <c r="AC38" s="62">
        <f t="shared" si="5"/>
        <v>0</v>
      </c>
      <c r="AD38" s="66">
        <f t="shared" si="3"/>
        <v>5.0000000000000001E-3</v>
      </c>
      <c r="AE38" s="99"/>
      <c r="AF38" s="100"/>
      <c r="AG38" s="99"/>
      <c r="AH38" s="100"/>
      <c r="AI38" s="99"/>
    </row>
    <row r="39" spans="1:35" s="65" customFormat="1">
      <c r="A39" s="1"/>
      <c r="B39" s="2"/>
      <c r="C39" s="17"/>
      <c r="D39" s="17"/>
      <c r="E39" s="17" t="s">
        <v>29</v>
      </c>
      <c r="F39" s="127" t="s">
        <v>42</v>
      </c>
      <c r="G39" s="128" t="s">
        <v>42</v>
      </c>
      <c r="H39" s="94">
        <v>97</v>
      </c>
      <c r="I39" s="95"/>
      <c r="J39" s="131" t="s">
        <v>43</v>
      </c>
      <c r="K39" s="132" t="s">
        <v>43</v>
      </c>
      <c r="L39" s="93">
        <v>0</v>
      </c>
      <c r="M39" s="95"/>
      <c r="N39" s="133" t="s">
        <v>42</v>
      </c>
      <c r="O39" s="96">
        <v>159</v>
      </c>
      <c r="P39" s="94">
        <v>87</v>
      </c>
      <c r="Q39" s="95"/>
      <c r="R39" s="134" t="s">
        <v>43</v>
      </c>
      <c r="S39" s="95">
        <v>0</v>
      </c>
      <c r="T39" s="93">
        <v>1</v>
      </c>
      <c r="U39" s="98"/>
      <c r="W39" s="133" t="s">
        <v>43</v>
      </c>
      <c r="X39" s="134" t="s">
        <v>43</v>
      </c>
      <c r="Y39" s="63">
        <f t="shared" si="4"/>
        <v>0</v>
      </c>
      <c r="Z39" s="64">
        <f t="shared" si="2"/>
        <v>0</v>
      </c>
      <c r="AA39" s="134" t="s">
        <v>43</v>
      </c>
      <c r="AB39" s="65">
        <f t="shared" si="6"/>
        <v>0</v>
      </c>
      <c r="AC39" s="62">
        <f t="shared" si="5"/>
        <v>1.1363636363636364E-2</v>
      </c>
      <c r="AD39" s="66">
        <f t="shared" si="3"/>
        <v>5.681818181818182E-3</v>
      </c>
      <c r="AE39" s="99"/>
      <c r="AF39" s="100"/>
      <c r="AG39" s="99"/>
      <c r="AH39" s="100"/>
      <c r="AI39" s="99"/>
    </row>
    <row r="40" spans="1:35" s="89" customFormat="1">
      <c r="A40" s="75"/>
      <c r="B40" s="76"/>
      <c r="C40" s="77"/>
      <c r="D40" s="77"/>
      <c r="E40" s="77" t="s">
        <v>30</v>
      </c>
      <c r="F40" s="140" t="s">
        <v>42</v>
      </c>
      <c r="G40" s="141" t="s">
        <v>42</v>
      </c>
      <c r="H40" s="102">
        <v>73</v>
      </c>
      <c r="I40" s="103"/>
      <c r="J40" s="144" t="s">
        <v>43</v>
      </c>
      <c r="K40" s="145" t="s">
        <v>43</v>
      </c>
      <c r="L40" s="101">
        <v>0</v>
      </c>
      <c r="M40" s="103"/>
      <c r="N40" s="146" t="s">
        <v>42</v>
      </c>
      <c r="O40" s="104">
        <v>122</v>
      </c>
      <c r="P40" s="102">
        <v>114</v>
      </c>
      <c r="Q40" s="103"/>
      <c r="R40" s="147" t="s">
        <v>43</v>
      </c>
      <c r="S40" s="103">
        <v>0</v>
      </c>
      <c r="T40" s="101">
        <v>0</v>
      </c>
      <c r="U40" s="106"/>
      <c r="W40" s="146" t="s">
        <v>43</v>
      </c>
      <c r="X40" s="147" t="s">
        <v>43</v>
      </c>
      <c r="Y40" s="87">
        <f t="shared" si="4"/>
        <v>0</v>
      </c>
      <c r="Z40" s="88">
        <f t="shared" si="2"/>
        <v>0</v>
      </c>
      <c r="AA40" s="147" t="s">
        <v>43</v>
      </c>
      <c r="AB40" s="89">
        <f t="shared" si="6"/>
        <v>0</v>
      </c>
      <c r="AC40" s="86">
        <f t="shared" si="5"/>
        <v>0</v>
      </c>
      <c r="AD40" s="90">
        <f t="shared" si="3"/>
        <v>0</v>
      </c>
      <c r="AE40" s="107"/>
      <c r="AF40" s="108"/>
      <c r="AG40" s="107"/>
      <c r="AH40" s="108"/>
      <c r="AI40" s="107"/>
    </row>
    <row r="41" spans="1:35" s="4" customFormat="1">
      <c r="A41" s="1"/>
      <c r="B41" s="2">
        <v>13</v>
      </c>
      <c r="C41" s="17" t="s">
        <v>31</v>
      </c>
      <c r="D41" s="17" t="s">
        <v>32</v>
      </c>
      <c r="E41" s="17" t="s">
        <v>25</v>
      </c>
      <c r="F41" s="152" t="s">
        <v>42</v>
      </c>
      <c r="G41" s="164" t="s">
        <v>42</v>
      </c>
      <c r="H41" s="165" t="s">
        <v>42</v>
      </c>
      <c r="I41" s="155"/>
      <c r="J41" s="153" t="s">
        <v>43</v>
      </c>
      <c r="K41" s="166" t="s">
        <v>43</v>
      </c>
      <c r="L41" s="164" t="s">
        <v>43</v>
      </c>
      <c r="M41" s="155"/>
      <c r="N41" s="167" t="s">
        <v>42</v>
      </c>
      <c r="O41" s="154">
        <v>18</v>
      </c>
      <c r="P41" s="165" t="s">
        <v>42</v>
      </c>
      <c r="Q41" s="155"/>
      <c r="R41" s="154" t="s">
        <v>43</v>
      </c>
      <c r="S41" s="155">
        <v>0</v>
      </c>
      <c r="T41" s="168" t="s">
        <v>43</v>
      </c>
      <c r="U41" s="169" t="s">
        <v>34</v>
      </c>
      <c r="V41" s="4" t="s">
        <v>35</v>
      </c>
      <c r="W41" s="133" t="s">
        <v>43</v>
      </c>
      <c r="X41" s="128" t="s">
        <v>43</v>
      </c>
      <c r="Y41" s="129" t="s">
        <v>43</v>
      </c>
      <c r="Z41" s="64"/>
      <c r="AA41" s="134" t="s">
        <v>43</v>
      </c>
      <c r="AB41" s="65">
        <f t="shared" si="6"/>
        <v>0</v>
      </c>
      <c r="AC41" s="134" t="s">
        <v>43</v>
      </c>
      <c r="AD41" s="66">
        <f t="shared" si="3"/>
        <v>0</v>
      </c>
      <c r="AE41" s="74">
        <v>0</v>
      </c>
      <c r="AF41" s="14">
        <v>0</v>
      </c>
      <c r="AG41" s="74">
        <v>1</v>
      </c>
      <c r="AH41" s="14">
        <v>0</v>
      </c>
      <c r="AI41" s="74">
        <v>0</v>
      </c>
    </row>
    <row r="42" spans="1:35" s="4" customFormat="1">
      <c r="A42" s="1"/>
      <c r="B42" s="2"/>
      <c r="C42" s="17"/>
      <c r="D42" s="17"/>
      <c r="E42" s="17" t="s">
        <v>28</v>
      </c>
      <c r="F42" s="152" t="s">
        <v>42</v>
      </c>
      <c r="G42" s="164" t="s">
        <v>42</v>
      </c>
      <c r="H42" s="165" t="s">
        <v>42</v>
      </c>
      <c r="I42" s="155"/>
      <c r="J42" s="153" t="s">
        <v>43</v>
      </c>
      <c r="K42" s="166" t="s">
        <v>43</v>
      </c>
      <c r="L42" s="164" t="s">
        <v>43</v>
      </c>
      <c r="M42" s="155"/>
      <c r="N42" s="167" t="s">
        <v>42</v>
      </c>
      <c r="O42" s="154">
        <v>20</v>
      </c>
      <c r="P42" s="165" t="s">
        <v>42</v>
      </c>
      <c r="Q42" s="155"/>
      <c r="R42" s="154" t="s">
        <v>43</v>
      </c>
      <c r="S42" s="155">
        <v>0</v>
      </c>
      <c r="T42" s="168" t="s">
        <v>43</v>
      </c>
      <c r="U42" s="169"/>
      <c r="W42" s="133" t="s">
        <v>43</v>
      </c>
      <c r="X42" s="128" t="s">
        <v>43</v>
      </c>
      <c r="Y42" s="129" t="s">
        <v>43</v>
      </c>
      <c r="Z42" s="64"/>
      <c r="AA42" s="134" t="s">
        <v>43</v>
      </c>
      <c r="AB42" s="65">
        <f t="shared" si="6"/>
        <v>0</v>
      </c>
      <c r="AC42" s="134" t="s">
        <v>43</v>
      </c>
      <c r="AD42" s="66">
        <f t="shared" si="3"/>
        <v>0</v>
      </c>
      <c r="AE42" s="74"/>
      <c r="AF42" s="14"/>
      <c r="AG42" s="74"/>
      <c r="AH42" s="14"/>
      <c r="AI42" s="74"/>
    </row>
    <row r="43" spans="1:35" s="4" customFormat="1">
      <c r="A43" s="1"/>
      <c r="B43" s="2"/>
      <c r="C43" s="17"/>
      <c r="D43" s="17"/>
      <c r="E43" s="17" t="s">
        <v>29</v>
      </c>
      <c r="F43" s="152" t="s">
        <v>42</v>
      </c>
      <c r="G43" s="164" t="s">
        <v>42</v>
      </c>
      <c r="H43" s="165" t="s">
        <v>42</v>
      </c>
      <c r="I43" s="155"/>
      <c r="J43" s="153" t="s">
        <v>43</v>
      </c>
      <c r="K43" s="166" t="s">
        <v>43</v>
      </c>
      <c r="L43" s="164" t="s">
        <v>43</v>
      </c>
      <c r="M43" s="155"/>
      <c r="N43" s="167" t="s">
        <v>42</v>
      </c>
      <c r="O43" s="154">
        <v>38</v>
      </c>
      <c r="P43" s="165" t="s">
        <v>42</v>
      </c>
      <c r="Q43" s="155"/>
      <c r="R43" s="154" t="s">
        <v>43</v>
      </c>
      <c r="S43" s="155">
        <v>0</v>
      </c>
      <c r="T43" s="168" t="s">
        <v>43</v>
      </c>
      <c r="U43" s="169"/>
      <c r="W43" s="133" t="s">
        <v>43</v>
      </c>
      <c r="X43" s="128" t="s">
        <v>43</v>
      </c>
      <c r="Y43" s="129" t="s">
        <v>43</v>
      </c>
      <c r="Z43" s="64"/>
      <c r="AA43" s="134" t="s">
        <v>43</v>
      </c>
      <c r="AB43" s="65">
        <f t="shared" si="6"/>
        <v>0</v>
      </c>
      <c r="AC43" s="134" t="s">
        <v>43</v>
      </c>
      <c r="AD43" s="66">
        <f t="shared" si="3"/>
        <v>0</v>
      </c>
      <c r="AE43" s="74"/>
      <c r="AF43" s="14"/>
      <c r="AG43" s="74"/>
      <c r="AH43" s="14"/>
      <c r="AI43" s="74"/>
    </row>
    <row r="44" spans="1:35" s="78" customFormat="1">
      <c r="A44" s="75"/>
      <c r="B44" s="76"/>
      <c r="C44" s="77"/>
      <c r="D44" s="77"/>
      <c r="E44" s="77" t="s">
        <v>30</v>
      </c>
      <c r="F44" s="156" t="s">
        <v>42</v>
      </c>
      <c r="G44" s="170" t="s">
        <v>42</v>
      </c>
      <c r="H44" s="171" t="s">
        <v>42</v>
      </c>
      <c r="I44" s="159"/>
      <c r="J44" s="157" t="s">
        <v>43</v>
      </c>
      <c r="K44" s="172" t="s">
        <v>43</v>
      </c>
      <c r="L44" s="170" t="s">
        <v>43</v>
      </c>
      <c r="M44" s="159"/>
      <c r="N44" s="173" t="s">
        <v>42</v>
      </c>
      <c r="O44" s="158">
        <v>17</v>
      </c>
      <c r="P44" s="171" t="s">
        <v>42</v>
      </c>
      <c r="Q44" s="159"/>
      <c r="R44" s="158" t="s">
        <v>43</v>
      </c>
      <c r="S44" s="159">
        <v>2</v>
      </c>
      <c r="T44" s="174" t="s">
        <v>43</v>
      </c>
      <c r="U44" s="175"/>
      <c r="W44" s="146" t="s">
        <v>43</v>
      </c>
      <c r="X44" s="141" t="s">
        <v>43</v>
      </c>
      <c r="Y44" s="142" t="s">
        <v>43</v>
      </c>
      <c r="Z44" s="88"/>
      <c r="AA44" s="147" t="s">
        <v>43</v>
      </c>
      <c r="AB44" s="89">
        <f t="shared" si="6"/>
        <v>0.10526315789473684</v>
      </c>
      <c r="AC44" s="147" t="s">
        <v>43</v>
      </c>
      <c r="AD44" s="90">
        <f t="shared" si="3"/>
        <v>0.10526315789473684</v>
      </c>
      <c r="AE44" s="91"/>
      <c r="AF44" s="92"/>
      <c r="AG44" s="91"/>
      <c r="AH44" s="92"/>
      <c r="AI44" s="91"/>
    </row>
    <row r="45" spans="1:35" s="65" customFormat="1">
      <c r="A45" s="1"/>
      <c r="B45" s="2">
        <v>13</v>
      </c>
      <c r="C45" s="17" t="s">
        <v>36</v>
      </c>
      <c r="D45" s="17" t="s">
        <v>37</v>
      </c>
      <c r="E45" s="17" t="s">
        <v>25</v>
      </c>
      <c r="F45" s="127" t="s">
        <v>42</v>
      </c>
      <c r="G45" s="128" t="s">
        <v>42</v>
      </c>
      <c r="H45" s="129" t="s">
        <v>42</v>
      </c>
      <c r="I45" s="130"/>
      <c r="J45" s="131" t="s">
        <v>43</v>
      </c>
      <c r="K45" s="132" t="s">
        <v>43</v>
      </c>
      <c r="L45" s="128" t="s">
        <v>43</v>
      </c>
      <c r="M45" s="130"/>
      <c r="N45" s="133" t="s">
        <v>42</v>
      </c>
      <c r="O45" s="134">
        <v>88</v>
      </c>
      <c r="P45" s="160">
        <v>117</v>
      </c>
      <c r="Q45" s="132"/>
      <c r="R45" s="134" t="s">
        <v>43</v>
      </c>
      <c r="S45" s="130">
        <v>0</v>
      </c>
      <c r="T45" s="128">
        <v>1</v>
      </c>
      <c r="U45" s="161" t="s">
        <v>34</v>
      </c>
      <c r="V45" s="65" t="s">
        <v>35</v>
      </c>
      <c r="W45" s="133" t="s">
        <v>43</v>
      </c>
      <c r="X45" s="128" t="s">
        <v>43</v>
      </c>
      <c r="Y45" s="129" t="s">
        <v>43</v>
      </c>
      <c r="Z45" s="64"/>
      <c r="AA45" s="134" t="s">
        <v>43</v>
      </c>
      <c r="AB45" s="65">
        <f t="shared" si="6"/>
        <v>0</v>
      </c>
      <c r="AC45" s="62">
        <f t="shared" si="6"/>
        <v>8.4745762711864406E-3</v>
      </c>
      <c r="AD45" s="66">
        <f t="shared" si="3"/>
        <v>4.2372881355932203E-3</v>
      </c>
      <c r="AE45" s="99">
        <v>0</v>
      </c>
      <c r="AF45" s="100">
        <v>0</v>
      </c>
      <c r="AG45" s="99">
        <v>1</v>
      </c>
      <c r="AH45" s="100">
        <v>0</v>
      </c>
      <c r="AI45" s="99">
        <v>0</v>
      </c>
    </row>
    <row r="46" spans="1:35" s="65" customFormat="1">
      <c r="A46" s="1"/>
      <c r="B46" s="2"/>
      <c r="C46" s="17"/>
      <c r="D46" s="17"/>
      <c r="E46" s="17" t="s">
        <v>28</v>
      </c>
      <c r="F46" s="127" t="s">
        <v>42</v>
      </c>
      <c r="G46" s="128" t="s">
        <v>42</v>
      </c>
      <c r="H46" s="129" t="s">
        <v>42</v>
      </c>
      <c r="I46" s="130"/>
      <c r="J46" s="131" t="s">
        <v>43</v>
      </c>
      <c r="K46" s="132" t="s">
        <v>43</v>
      </c>
      <c r="L46" s="128" t="s">
        <v>43</v>
      </c>
      <c r="M46" s="130"/>
      <c r="N46" s="133" t="s">
        <v>42</v>
      </c>
      <c r="O46" s="134">
        <v>99</v>
      </c>
      <c r="P46" s="160">
        <v>82</v>
      </c>
      <c r="Q46" s="132"/>
      <c r="R46" s="134" t="s">
        <v>43</v>
      </c>
      <c r="S46" s="130">
        <v>1</v>
      </c>
      <c r="T46" s="128">
        <v>0</v>
      </c>
      <c r="U46" s="161"/>
      <c r="W46" s="133" t="s">
        <v>43</v>
      </c>
      <c r="X46" s="128" t="s">
        <v>43</v>
      </c>
      <c r="Y46" s="129" t="s">
        <v>43</v>
      </c>
      <c r="Z46" s="64"/>
      <c r="AA46" s="134" t="s">
        <v>43</v>
      </c>
      <c r="AB46" s="65">
        <f t="shared" si="6"/>
        <v>0.01</v>
      </c>
      <c r="AC46" s="62">
        <f t="shared" si="6"/>
        <v>0</v>
      </c>
      <c r="AD46" s="66">
        <f t="shared" si="3"/>
        <v>5.0000000000000001E-3</v>
      </c>
      <c r="AE46" s="99"/>
      <c r="AF46" s="100"/>
      <c r="AG46" s="99"/>
      <c r="AH46" s="100"/>
      <c r="AI46" s="99"/>
    </row>
    <row r="47" spans="1:35" s="65" customFormat="1">
      <c r="A47" s="1"/>
      <c r="B47" s="2"/>
      <c r="C47" s="17"/>
      <c r="D47" s="17"/>
      <c r="E47" s="17" t="s">
        <v>29</v>
      </c>
      <c r="F47" s="127" t="s">
        <v>42</v>
      </c>
      <c r="G47" s="128" t="s">
        <v>42</v>
      </c>
      <c r="H47" s="129" t="s">
        <v>42</v>
      </c>
      <c r="I47" s="130"/>
      <c r="J47" s="131" t="s">
        <v>43</v>
      </c>
      <c r="K47" s="132" t="s">
        <v>43</v>
      </c>
      <c r="L47" s="128" t="s">
        <v>43</v>
      </c>
      <c r="M47" s="130"/>
      <c r="N47" s="133" t="s">
        <v>42</v>
      </c>
      <c r="O47" s="134">
        <v>103</v>
      </c>
      <c r="P47" s="160">
        <v>120</v>
      </c>
      <c r="Q47" s="132"/>
      <c r="R47" s="134" t="s">
        <v>43</v>
      </c>
      <c r="S47" s="130">
        <v>0</v>
      </c>
      <c r="T47" s="128">
        <v>1</v>
      </c>
      <c r="U47" s="161"/>
      <c r="W47" s="133" t="s">
        <v>43</v>
      </c>
      <c r="X47" s="128" t="s">
        <v>43</v>
      </c>
      <c r="Y47" s="129" t="s">
        <v>43</v>
      </c>
      <c r="Z47" s="64"/>
      <c r="AA47" s="134" t="s">
        <v>43</v>
      </c>
      <c r="AB47" s="65">
        <f t="shared" si="6"/>
        <v>0</v>
      </c>
      <c r="AC47" s="62">
        <f t="shared" si="6"/>
        <v>8.2644628099173556E-3</v>
      </c>
      <c r="AD47" s="66">
        <f t="shared" si="3"/>
        <v>4.1322314049586778E-3</v>
      </c>
      <c r="AE47" s="99"/>
      <c r="AF47" s="100"/>
      <c r="AG47" s="99"/>
      <c r="AH47" s="100"/>
      <c r="AI47" s="99"/>
    </row>
    <row r="48" spans="1:35" s="89" customFormat="1">
      <c r="A48" s="75"/>
      <c r="B48" s="76"/>
      <c r="C48" s="77"/>
      <c r="D48" s="77"/>
      <c r="E48" s="77" t="s">
        <v>30</v>
      </c>
      <c r="F48" s="140" t="s">
        <v>42</v>
      </c>
      <c r="G48" s="141" t="s">
        <v>42</v>
      </c>
      <c r="H48" s="142" t="s">
        <v>42</v>
      </c>
      <c r="I48" s="143"/>
      <c r="J48" s="144" t="s">
        <v>43</v>
      </c>
      <c r="K48" s="145" t="s">
        <v>43</v>
      </c>
      <c r="L48" s="141" t="s">
        <v>43</v>
      </c>
      <c r="M48" s="143"/>
      <c r="N48" s="146" t="s">
        <v>42</v>
      </c>
      <c r="O48" s="147">
        <v>138</v>
      </c>
      <c r="P48" s="162">
        <v>125</v>
      </c>
      <c r="Q48" s="145"/>
      <c r="R48" s="147" t="s">
        <v>43</v>
      </c>
      <c r="S48" s="143">
        <v>0</v>
      </c>
      <c r="T48" s="141">
        <v>0</v>
      </c>
      <c r="U48" s="163"/>
      <c r="W48" s="146" t="s">
        <v>43</v>
      </c>
      <c r="X48" s="141" t="s">
        <v>43</v>
      </c>
      <c r="Y48" s="142" t="s">
        <v>43</v>
      </c>
      <c r="Z48" s="88"/>
      <c r="AA48" s="147" t="s">
        <v>43</v>
      </c>
      <c r="AB48" s="89">
        <f t="shared" si="6"/>
        <v>0</v>
      </c>
      <c r="AC48" s="86">
        <f t="shared" si="6"/>
        <v>0</v>
      </c>
      <c r="AD48" s="90">
        <f t="shared" si="3"/>
        <v>0</v>
      </c>
      <c r="AE48" s="107"/>
      <c r="AF48" s="108"/>
      <c r="AG48" s="107"/>
      <c r="AH48" s="108"/>
      <c r="AI48" s="107"/>
    </row>
    <row r="49" spans="1:35" s="4" customFormat="1">
      <c r="A49" s="1"/>
      <c r="B49" s="2">
        <v>23</v>
      </c>
      <c r="C49" s="17" t="s">
        <v>31</v>
      </c>
      <c r="D49" s="17" t="s">
        <v>32</v>
      </c>
      <c r="E49" s="17" t="s">
        <v>25</v>
      </c>
      <c r="F49" s="152" t="s">
        <v>42</v>
      </c>
      <c r="G49" s="164" t="s">
        <v>42</v>
      </c>
      <c r="H49" s="165" t="s">
        <v>42</v>
      </c>
      <c r="I49" s="155"/>
      <c r="J49" s="153" t="s">
        <v>43</v>
      </c>
      <c r="K49" s="166" t="s">
        <v>43</v>
      </c>
      <c r="L49" s="164" t="s">
        <v>43</v>
      </c>
      <c r="M49" s="155"/>
      <c r="N49" s="167" t="s">
        <v>42</v>
      </c>
      <c r="O49" s="154" t="s">
        <v>42</v>
      </c>
      <c r="P49" s="176">
        <v>100</v>
      </c>
      <c r="Q49" s="166"/>
      <c r="R49" s="154" t="s">
        <v>43</v>
      </c>
      <c r="S49" s="155" t="s">
        <v>43</v>
      </c>
      <c r="T49" s="164">
        <v>1</v>
      </c>
      <c r="U49" s="177" t="s">
        <v>34</v>
      </c>
      <c r="V49" s="4" t="s">
        <v>35</v>
      </c>
      <c r="W49" s="133" t="s">
        <v>43</v>
      </c>
      <c r="X49" s="128" t="s">
        <v>43</v>
      </c>
      <c r="Y49" s="129" t="s">
        <v>43</v>
      </c>
      <c r="Z49" s="64"/>
      <c r="AA49" s="134" t="s">
        <v>43</v>
      </c>
      <c r="AB49" s="127" t="s">
        <v>43</v>
      </c>
      <c r="AC49" s="62">
        <f t="shared" si="6"/>
        <v>9.9009900990099011E-3</v>
      </c>
      <c r="AD49" s="66">
        <f t="shared" si="3"/>
        <v>9.9009900990099011E-3</v>
      </c>
      <c r="AE49" s="74">
        <v>0</v>
      </c>
      <c r="AF49" s="14">
        <v>0</v>
      </c>
      <c r="AG49" s="74">
        <v>1</v>
      </c>
      <c r="AH49" s="14">
        <v>0</v>
      </c>
      <c r="AI49" s="74">
        <v>0</v>
      </c>
    </row>
    <row r="50" spans="1:35" s="4" customFormat="1">
      <c r="A50" s="1"/>
      <c r="B50" s="2"/>
      <c r="C50" s="17"/>
      <c r="D50" s="17"/>
      <c r="E50" s="17" t="s">
        <v>28</v>
      </c>
      <c r="F50" s="152" t="s">
        <v>42</v>
      </c>
      <c r="G50" s="164" t="s">
        <v>42</v>
      </c>
      <c r="H50" s="165" t="s">
        <v>42</v>
      </c>
      <c r="I50" s="155"/>
      <c r="J50" s="153" t="s">
        <v>43</v>
      </c>
      <c r="K50" s="166" t="s">
        <v>43</v>
      </c>
      <c r="L50" s="164" t="s">
        <v>43</v>
      </c>
      <c r="M50" s="155"/>
      <c r="N50" s="167" t="s">
        <v>42</v>
      </c>
      <c r="O50" s="154" t="s">
        <v>42</v>
      </c>
      <c r="P50" s="176">
        <v>49</v>
      </c>
      <c r="Q50" s="166"/>
      <c r="R50" s="154" t="s">
        <v>43</v>
      </c>
      <c r="S50" s="155" t="s">
        <v>43</v>
      </c>
      <c r="T50" s="164">
        <v>0</v>
      </c>
      <c r="U50" s="177"/>
      <c r="W50" s="133" t="s">
        <v>43</v>
      </c>
      <c r="X50" s="128" t="s">
        <v>43</v>
      </c>
      <c r="Y50" s="129" t="s">
        <v>43</v>
      </c>
      <c r="Z50" s="64"/>
      <c r="AA50" s="134" t="s">
        <v>43</v>
      </c>
      <c r="AB50" s="127" t="s">
        <v>43</v>
      </c>
      <c r="AC50" s="62">
        <f t="shared" si="6"/>
        <v>0</v>
      </c>
      <c r="AD50" s="66">
        <f t="shared" si="3"/>
        <v>0</v>
      </c>
      <c r="AE50" s="74"/>
      <c r="AF50" s="14"/>
      <c r="AG50" s="74"/>
      <c r="AH50" s="14"/>
      <c r="AI50" s="74"/>
    </row>
    <row r="51" spans="1:35" s="4" customFormat="1">
      <c r="A51" s="1"/>
      <c r="B51" s="2"/>
      <c r="C51" s="17"/>
      <c r="D51" s="17"/>
      <c r="E51" s="17" t="s">
        <v>29</v>
      </c>
      <c r="F51" s="152" t="s">
        <v>42</v>
      </c>
      <c r="G51" s="164" t="s">
        <v>42</v>
      </c>
      <c r="H51" s="165" t="s">
        <v>42</v>
      </c>
      <c r="I51" s="155"/>
      <c r="J51" s="153" t="s">
        <v>43</v>
      </c>
      <c r="K51" s="166" t="s">
        <v>43</v>
      </c>
      <c r="L51" s="164" t="s">
        <v>43</v>
      </c>
      <c r="M51" s="155"/>
      <c r="N51" s="167" t="s">
        <v>42</v>
      </c>
      <c r="O51" s="154" t="s">
        <v>42</v>
      </c>
      <c r="P51" s="176">
        <v>130</v>
      </c>
      <c r="Q51" s="166"/>
      <c r="R51" s="154" t="s">
        <v>43</v>
      </c>
      <c r="S51" s="155" t="s">
        <v>43</v>
      </c>
      <c r="T51" s="164">
        <v>1</v>
      </c>
      <c r="U51" s="177"/>
      <c r="W51" s="133" t="s">
        <v>43</v>
      </c>
      <c r="X51" s="128" t="s">
        <v>43</v>
      </c>
      <c r="Y51" s="129" t="s">
        <v>43</v>
      </c>
      <c r="Z51" s="64"/>
      <c r="AA51" s="134" t="s">
        <v>43</v>
      </c>
      <c r="AB51" s="127" t="s">
        <v>43</v>
      </c>
      <c r="AC51" s="62">
        <f t="shared" si="6"/>
        <v>7.6335877862595417E-3</v>
      </c>
      <c r="AD51" s="66">
        <f t="shared" si="3"/>
        <v>7.6335877862595417E-3</v>
      </c>
      <c r="AE51" s="74"/>
      <c r="AF51" s="14"/>
      <c r="AG51" s="74"/>
      <c r="AH51" s="14"/>
      <c r="AI51" s="74"/>
    </row>
    <row r="52" spans="1:35" s="78" customFormat="1">
      <c r="A52" s="75"/>
      <c r="B52" s="76"/>
      <c r="C52" s="77"/>
      <c r="D52" s="77"/>
      <c r="E52" s="77" t="s">
        <v>30</v>
      </c>
      <c r="F52" s="156" t="s">
        <v>42</v>
      </c>
      <c r="G52" s="170" t="s">
        <v>42</v>
      </c>
      <c r="H52" s="171" t="s">
        <v>42</v>
      </c>
      <c r="I52" s="159"/>
      <c r="J52" s="157" t="s">
        <v>43</v>
      </c>
      <c r="K52" s="172" t="s">
        <v>43</v>
      </c>
      <c r="L52" s="170" t="s">
        <v>43</v>
      </c>
      <c r="M52" s="159"/>
      <c r="N52" s="173" t="s">
        <v>42</v>
      </c>
      <c r="O52" s="158" t="s">
        <v>42</v>
      </c>
      <c r="P52" s="178">
        <v>62</v>
      </c>
      <c r="Q52" s="172"/>
      <c r="R52" s="158" t="s">
        <v>43</v>
      </c>
      <c r="S52" s="159" t="s">
        <v>43</v>
      </c>
      <c r="T52" s="170">
        <v>0</v>
      </c>
      <c r="U52" s="179"/>
      <c r="W52" s="146" t="s">
        <v>43</v>
      </c>
      <c r="X52" s="141" t="s">
        <v>43</v>
      </c>
      <c r="Y52" s="142" t="s">
        <v>43</v>
      </c>
      <c r="Z52" s="88"/>
      <c r="AA52" s="147" t="s">
        <v>43</v>
      </c>
      <c r="AB52" s="140" t="s">
        <v>43</v>
      </c>
      <c r="AC52" s="86">
        <f t="shared" si="6"/>
        <v>0</v>
      </c>
      <c r="AD52" s="180">
        <f t="shared" si="3"/>
        <v>0</v>
      </c>
      <c r="AE52" s="91"/>
      <c r="AF52" s="92"/>
      <c r="AG52" s="91"/>
      <c r="AH52" s="92"/>
      <c r="AI52" s="91"/>
    </row>
    <row r="53" spans="1:35" s="65" customFormat="1">
      <c r="A53" s="1"/>
      <c r="B53" s="2">
        <v>30</v>
      </c>
      <c r="C53" s="17" t="s">
        <v>36</v>
      </c>
      <c r="D53" s="17" t="s">
        <v>37</v>
      </c>
      <c r="E53" s="17" t="s">
        <v>25</v>
      </c>
      <c r="F53" s="65">
        <v>30</v>
      </c>
      <c r="G53" s="93">
        <v>44</v>
      </c>
      <c r="H53" s="94">
        <v>57</v>
      </c>
      <c r="I53" s="95"/>
      <c r="J53" s="96">
        <v>2</v>
      </c>
      <c r="K53" s="95">
        <v>1</v>
      </c>
      <c r="L53" s="93">
        <v>6</v>
      </c>
      <c r="M53" s="95"/>
      <c r="N53" s="97">
        <v>44</v>
      </c>
      <c r="O53" s="96">
        <v>31</v>
      </c>
      <c r="P53" s="94">
        <v>72</v>
      </c>
      <c r="Q53" s="95"/>
      <c r="R53" s="62">
        <v>3</v>
      </c>
      <c r="S53" s="95">
        <v>3</v>
      </c>
      <c r="T53" s="93">
        <v>10</v>
      </c>
      <c r="U53" s="98" t="s">
        <v>34</v>
      </c>
      <c r="V53" s="65" t="s">
        <v>35</v>
      </c>
      <c r="W53" s="61">
        <f t="shared" ref="W53:Y56" si="7">J53/(F53+J53)</f>
        <v>6.25E-2</v>
      </c>
      <c r="X53" s="62">
        <f t="shared" si="7"/>
        <v>2.2222222222222223E-2</v>
      </c>
      <c r="Y53" s="63">
        <f t="shared" si="7"/>
        <v>9.5238095238095233E-2</v>
      </c>
      <c r="Z53" s="64">
        <f t="shared" si="2"/>
        <v>5.9986772486772484E-2</v>
      </c>
      <c r="AA53" s="62">
        <f t="shared" ref="AA53:AC60" si="8">R53/(N53+R53)</f>
        <v>6.3829787234042548E-2</v>
      </c>
      <c r="AB53" s="65">
        <f t="shared" si="8"/>
        <v>8.8235294117647065E-2</v>
      </c>
      <c r="AC53" s="62">
        <f t="shared" si="8"/>
        <v>0.12195121951219512</v>
      </c>
      <c r="AD53" s="66">
        <f t="shared" si="3"/>
        <v>9.1338766954628239E-2</v>
      </c>
      <c r="AE53" s="99">
        <v>1</v>
      </c>
      <c r="AF53" s="100">
        <v>0</v>
      </c>
      <c r="AG53" s="99">
        <v>0</v>
      </c>
      <c r="AH53" s="100">
        <v>1</v>
      </c>
      <c r="AI53" s="99">
        <v>0</v>
      </c>
    </row>
    <row r="54" spans="1:35" s="65" customFormat="1">
      <c r="A54" s="1"/>
      <c r="B54" s="2"/>
      <c r="C54" s="17"/>
      <c r="D54" s="17"/>
      <c r="E54" s="17" t="s">
        <v>28</v>
      </c>
      <c r="F54" s="65">
        <v>47</v>
      </c>
      <c r="G54" s="93">
        <v>36</v>
      </c>
      <c r="H54" s="94">
        <v>50</v>
      </c>
      <c r="I54" s="95"/>
      <c r="J54" s="96">
        <v>3</v>
      </c>
      <c r="K54" s="95">
        <v>3</v>
      </c>
      <c r="L54" s="93">
        <v>6</v>
      </c>
      <c r="M54" s="95"/>
      <c r="N54" s="97">
        <v>46</v>
      </c>
      <c r="O54" s="96">
        <v>33</v>
      </c>
      <c r="P54" s="94">
        <v>44</v>
      </c>
      <c r="Q54" s="95"/>
      <c r="R54" s="62">
        <v>5</v>
      </c>
      <c r="S54" s="95">
        <v>4</v>
      </c>
      <c r="T54" s="93">
        <v>3</v>
      </c>
      <c r="U54" s="98"/>
      <c r="W54" s="61">
        <f t="shared" si="7"/>
        <v>0.06</v>
      </c>
      <c r="X54" s="62">
        <f t="shared" si="7"/>
        <v>7.6923076923076927E-2</v>
      </c>
      <c r="Y54" s="63">
        <f t="shared" si="7"/>
        <v>0.10714285714285714</v>
      </c>
      <c r="Z54" s="64">
        <f t="shared" si="2"/>
        <v>8.1355311355311363E-2</v>
      </c>
      <c r="AA54" s="62">
        <f t="shared" si="8"/>
        <v>9.8039215686274508E-2</v>
      </c>
      <c r="AB54" s="65">
        <f t="shared" si="8"/>
        <v>0.10810810810810811</v>
      </c>
      <c r="AC54" s="62">
        <f t="shared" si="8"/>
        <v>6.3829787234042548E-2</v>
      </c>
      <c r="AD54" s="66">
        <f t="shared" si="3"/>
        <v>8.9992370342808381E-2</v>
      </c>
      <c r="AE54" s="99"/>
      <c r="AF54" s="100"/>
      <c r="AG54" s="99"/>
      <c r="AH54" s="100"/>
      <c r="AI54" s="99"/>
    </row>
    <row r="55" spans="1:35" s="65" customFormat="1">
      <c r="A55" s="1"/>
      <c r="B55" s="2"/>
      <c r="C55" s="17"/>
      <c r="D55" s="17"/>
      <c r="E55" s="17" t="s">
        <v>29</v>
      </c>
      <c r="F55" s="65">
        <v>40</v>
      </c>
      <c r="G55" s="93">
        <v>42</v>
      </c>
      <c r="H55" s="94">
        <v>40</v>
      </c>
      <c r="I55" s="95"/>
      <c r="J55" s="96">
        <v>5</v>
      </c>
      <c r="K55" s="95">
        <v>4</v>
      </c>
      <c r="L55" s="93">
        <v>6</v>
      </c>
      <c r="M55" s="95"/>
      <c r="N55" s="97">
        <v>72</v>
      </c>
      <c r="O55" s="96">
        <v>61</v>
      </c>
      <c r="P55" s="94">
        <v>46</v>
      </c>
      <c r="Q55" s="95"/>
      <c r="R55" s="62">
        <v>7</v>
      </c>
      <c r="S55" s="95">
        <v>1</v>
      </c>
      <c r="T55" s="93">
        <v>4</v>
      </c>
      <c r="U55" s="98"/>
      <c r="W55" s="61">
        <f t="shared" si="7"/>
        <v>0.1111111111111111</v>
      </c>
      <c r="X55" s="62">
        <f t="shared" si="7"/>
        <v>8.6956521739130432E-2</v>
      </c>
      <c r="Y55" s="63">
        <f t="shared" si="7"/>
        <v>0.13043478260869565</v>
      </c>
      <c r="Z55" s="64">
        <f t="shared" si="2"/>
        <v>0.10950080515297907</v>
      </c>
      <c r="AA55" s="62">
        <f t="shared" si="8"/>
        <v>8.8607594936708861E-2</v>
      </c>
      <c r="AB55" s="65">
        <f t="shared" si="8"/>
        <v>1.6129032258064516E-2</v>
      </c>
      <c r="AC55" s="62">
        <f t="shared" si="8"/>
        <v>0.08</v>
      </c>
      <c r="AD55" s="66">
        <f t="shared" si="3"/>
        <v>6.1578875731591126E-2</v>
      </c>
      <c r="AE55" s="99"/>
      <c r="AF55" s="100"/>
      <c r="AG55" s="99"/>
      <c r="AH55" s="100"/>
      <c r="AI55" s="99"/>
    </row>
    <row r="56" spans="1:35" s="89" customFormat="1">
      <c r="A56" s="75"/>
      <c r="B56" s="76"/>
      <c r="C56" s="77"/>
      <c r="D56" s="77"/>
      <c r="E56" s="77" t="s">
        <v>30</v>
      </c>
      <c r="F56" s="89">
        <v>48</v>
      </c>
      <c r="G56" s="101">
        <v>40</v>
      </c>
      <c r="H56" s="102">
        <v>32</v>
      </c>
      <c r="I56" s="103"/>
      <c r="J56" s="104">
        <v>6</v>
      </c>
      <c r="K56" s="103">
        <v>4</v>
      </c>
      <c r="L56" s="101">
        <v>2</v>
      </c>
      <c r="M56" s="103"/>
      <c r="N56" s="105">
        <v>75</v>
      </c>
      <c r="O56" s="104">
        <v>27</v>
      </c>
      <c r="P56" s="102">
        <v>33</v>
      </c>
      <c r="Q56" s="103"/>
      <c r="R56" s="86">
        <v>11</v>
      </c>
      <c r="S56" s="103">
        <v>3</v>
      </c>
      <c r="T56" s="101">
        <v>4</v>
      </c>
      <c r="U56" s="106"/>
      <c r="W56" s="85">
        <f t="shared" si="7"/>
        <v>0.1111111111111111</v>
      </c>
      <c r="X56" s="86">
        <f t="shared" si="7"/>
        <v>9.0909090909090912E-2</v>
      </c>
      <c r="Y56" s="87">
        <f t="shared" si="7"/>
        <v>5.8823529411764705E-2</v>
      </c>
      <c r="Z56" s="88">
        <f t="shared" si="2"/>
        <v>8.6947910477322241E-2</v>
      </c>
      <c r="AA56" s="86">
        <f t="shared" si="8"/>
        <v>0.12790697674418605</v>
      </c>
      <c r="AB56" s="89">
        <f t="shared" si="8"/>
        <v>0.1</v>
      </c>
      <c r="AC56" s="86">
        <f t="shared" si="8"/>
        <v>0.10810810810810811</v>
      </c>
      <c r="AD56" s="90">
        <f t="shared" si="3"/>
        <v>0.11200502828409804</v>
      </c>
      <c r="AE56" s="107"/>
      <c r="AF56" s="108"/>
      <c r="AG56" s="107"/>
      <c r="AH56" s="108"/>
      <c r="AI56" s="107"/>
    </row>
    <row r="57" spans="1:35" s="4" customFormat="1">
      <c r="A57" s="1"/>
      <c r="B57" s="2">
        <v>32</v>
      </c>
      <c r="C57" s="17" t="s">
        <v>31</v>
      </c>
      <c r="D57" s="17" t="s">
        <v>32</v>
      </c>
      <c r="E57" s="17" t="s">
        <v>25</v>
      </c>
      <c r="F57" s="152" t="s">
        <v>42</v>
      </c>
      <c r="G57" s="164" t="s">
        <v>42</v>
      </c>
      <c r="H57" s="165" t="s">
        <v>42</v>
      </c>
      <c r="I57" s="155"/>
      <c r="J57" s="153" t="s">
        <v>43</v>
      </c>
      <c r="K57" s="166" t="s">
        <v>43</v>
      </c>
      <c r="L57" s="164" t="s">
        <v>43</v>
      </c>
      <c r="M57" s="155"/>
      <c r="N57" s="167" t="s">
        <v>42</v>
      </c>
      <c r="O57" s="154" t="s">
        <v>42</v>
      </c>
      <c r="P57" s="70">
        <v>73</v>
      </c>
      <c r="Q57" s="5"/>
      <c r="R57" s="154" t="s">
        <v>43</v>
      </c>
      <c r="S57" s="155" t="s">
        <v>43</v>
      </c>
      <c r="T57" s="69">
        <v>3</v>
      </c>
      <c r="U57" s="73" t="s">
        <v>34</v>
      </c>
      <c r="V57" s="4" t="s">
        <v>35</v>
      </c>
      <c r="W57" s="133" t="s">
        <v>43</v>
      </c>
      <c r="X57" s="128" t="s">
        <v>43</v>
      </c>
      <c r="Y57" s="129" t="s">
        <v>43</v>
      </c>
      <c r="Z57" s="137"/>
      <c r="AA57" s="134" t="s">
        <v>43</v>
      </c>
      <c r="AB57" s="127" t="s">
        <v>43</v>
      </c>
      <c r="AC57" s="62">
        <f t="shared" si="8"/>
        <v>3.9473684210526314E-2</v>
      </c>
      <c r="AD57" s="66">
        <f t="shared" si="3"/>
        <v>3.9473684210526314E-2</v>
      </c>
      <c r="AE57" s="74">
        <v>0</v>
      </c>
      <c r="AF57" s="14">
        <v>0</v>
      </c>
      <c r="AG57" s="74">
        <v>1</v>
      </c>
      <c r="AH57" s="14">
        <v>0</v>
      </c>
      <c r="AI57" s="74">
        <v>0</v>
      </c>
    </row>
    <row r="58" spans="1:35" s="4" customFormat="1">
      <c r="A58" s="1"/>
      <c r="B58" s="2"/>
      <c r="C58" s="17"/>
      <c r="D58" s="17"/>
      <c r="E58" s="17" t="s">
        <v>28</v>
      </c>
      <c r="F58" s="152" t="s">
        <v>42</v>
      </c>
      <c r="G58" s="164" t="s">
        <v>42</v>
      </c>
      <c r="H58" s="165" t="s">
        <v>42</v>
      </c>
      <c r="I58" s="155"/>
      <c r="J58" s="153" t="s">
        <v>43</v>
      </c>
      <c r="K58" s="166" t="s">
        <v>43</v>
      </c>
      <c r="L58" s="164" t="s">
        <v>43</v>
      </c>
      <c r="M58" s="155"/>
      <c r="N58" s="167" t="s">
        <v>42</v>
      </c>
      <c r="O58" s="154" t="s">
        <v>42</v>
      </c>
      <c r="P58" s="70">
        <v>41</v>
      </c>
      <c r="Q58" s="5"/>
      <c r="R58" s="154" t="s">
        <v>43</v>
      </c>
      <c r="S58" s="155" t="s">
        <v>43</v>
      </c>
      <c r="T58" s="69">
        <v>0</v>
      </c>
      <c r="U58" s="73"/>
      <c r="W58" s="133" t="s">
        <v>43</v>
      </c>
      <c r="X58" s="128" t="s">
        <v>43</v>
      </c>
      <c r="Y58" s="129" t="s">
        <v>43</v>
      </c>
      <c r="Z58" s="139"/>
      <c r="AA58" s="134" t="s">
        <v>43</v>
      </c>
      <c r="AB58" s="127" t="s">
        <v>43</v>
      </c>
      <c r="AC58" s="62">
        <f t="shared" si="8"/>
        <v>0</v>
      </c>
      <c r="AD58" s="66">
        <f t="shared" si="3"/>
        <v>0</v>
      </c>
      <c r="AE58" s="74"/>
      <c r="AF58" s="14"/>
      <c r="AG58" s="74"/>
      <c r="AH58" s="14"/>
      <c r="AI58" s="74"/>
    </row>
    <row r="59" spans="1:35" s="4" customFormat="1">
      <c r="A59" s="1"/>
      <c r="B59" s="2"/>
      <c r="C59" s="17"/>
      <c r="D59" s="17"/>
      <c r="E59" s="17" t="s">
        <v>29</v>
      </c>
      <c r="F59" s="152" t="s">
        <v>42</v>
      </c>
      <c r="G59" s="164" t="s">
        <v>42</v>
      </c>
      <c r="H59" s="165" t="s">
        <v>42</v>
      </c>
      <c r="I59" s="155"/>
      <c r="J59" s="153" t="s">
        <v>43</v>
      </c>
      <c r="K59" s="166" t="s">
        <v>43</v>
      </c>
      <c r="L59" s="164" t="s">
        <v>43</v>
      </c>
      <c r="M59" s="155"/>
      <c r="N59" s="167" t="s">
        <v>42</v>
      </c>
      <c r="O59" s="154" t="s">
        <v>42</v>
      </c>
      <c r="P59" s="70">
        <v>57</v>
      </c>
      <c r="Q59" s="5"/>
      <c r="R59" s="154" t="s">
        <v>43</v>
      </c>
      <c r="S59" s="155" t="s">
        <v>43</v>
      </c>
      <c r="T59" s="69">
        <v>3</v>
      </c>
      <c r="U59" s="73"/>
      <c r="W59" s="133" t="s">
        <v>43</v>
      </c>
      <c r="X59" s="128" t="s">
        <v>43</v>
      </c>
      <c r="Y59" s="129" t="s">
        <v>43</v>
      </c>
      <c r="Z59" s="139"/>
      <c r="AA59" s="134" t="s">
        <v>43</v>
      </c>
      <c r="AB59" s="127" t="s">
        <v>43</v>
      </c>
      <c r="AC59" s="62">
        <f t="shared" si="8"/>
        <v>0.05</v>
      </c>
      <c r="AD59" s="66">
        <f t="shared" si="3"/>
        <v>0.05</v>
      </c>
      <c r="AE59" s="74"/>
      <c r="AF59" s="14"/>
      <c r="AG59" s="74"/>
      <c r="AH59" s="14"/>
      <c r="AI59" s="74"/>
    </row>
    <row r="60" spans="1:35" s="78" customFormat="1">
      <c r="A60" s="75"/>
      <c r="B60" s="76"/>
      <c r="C60" s="77"/>
      <c r="D60" s="77"/>
      <c r="E60" s="77" t="s">
        <v>30</v>
      </c>
      <c r="F60" s="156" t="s">
        <v>42</v>
      </c>
      <c r="G60" s="170" t="s">
        <v>42</v>
      </c>
      <c r="H60" s="171" t="s">
        <v>42</v>
      </c>
      <c r="I60" s="159"/>
      <c r="J60" s="157" t="s">
        <v>43</v>
      </c>
      <c r="K60" s="172" t="s">
        <v>43</v>
      </c>
      <c r="L60" s="170" t="s">
        <v>43</v>
      </c>
      <c r="M60" s="159"/>
      <c r="N60" s="173" t="s">
        <v>42</v>
      </c>
      <c r="O60" s="158" t="s">
        <v>42</v>
      </c>
      <c r="P60" s="80">
        <v>66</v>
      </c>
      <c r="Q60" s="81"/>
      <c r="R60" s="158" t="s">
        <v>43</v>
      </c>
      <c r="S60" s="159" t="s">
        <v>43</v>
      </c>
      <c r="T60" s="79">
        <v>0</v>
      </c>
      <c r="U60" s="84"/>
      <c r="W60" s="146" t="s">
        <v>43</v>
      </c>
      <c r="X60" s="141" t="s">
        <v>43</v>
      </c>
      <c r="Y60" s="142" t="s">
        <v>43</v>
      </c>
      <c r="Z60" s="88"/>
      <c r="AA60" s="147" t="s">
        <v>43</v>
      </c>
      <c r="AB60" s="140" t="s">
        <v>43</v>
      </c>
      <c r="AC60" s="86">
        <f t="shared" si="8"/>
        <v>0</v>
      </c>
      <c r="AD60" s="90">
        <f t="shared" si="3"/>
        <v>0</v>
      </c>
      <c r="AE60" s="91"/>
      <c r="AF60" s="92"/>
      <c r="AG60" s="91"/>
      <c r="AH60" s="92"/>
      <c r="AI60" s="91"/>
    </row>
    <row r="61" spans="1:35" s="65" customFormat="1">
      <c r="A61" s="1"/>
      <c r="B61" s="2">
        <v>34</v>
      </c>
      <c r="C61" s="17" t="s">
        <v>31</v>
      </c>
      <c r="D61" s="17" t="s">
        <v>32</v>
      </c>
      <c r="E61" s="17" t="s">
        <v>25</v>
      </c>
      <c r="F61" s="127" t="s">
        <v>42</v>
      </c>
      <c r="G61" s="128" t="s">
        <v>42</v>
      </c>
      <c r="H61" s="94">
        <v>83</v>
      </c>
      <c r="I61" s="95"/>
      <c r="J61" s="131" t="s">
        <v>43</v>
      </c>
      <c r="K61" s="132" t="s">
        <v>43</v>
      </c>
      <c r="L61" s="93">
        <v>0</v>
      </c>
      <c r="M61" s="95"/>
      <c r="N61" s="97">
        <v>71</v>
      </c>
      <c r="O61" s="134" t="s">
        <v>42</v>
      </c>
      <c r="P61" s="129" t="s">
        <v>42</v>
      </c>
      <c r="Q61" s="130"/>
      <c r="R61" s="62">
        <v>1</v>
      </c>
      <c r="S61" s="130" t="s">
        <v>43</v>
      </c>
      <c r="T61" s="135" t="s">
        <v>43</v>
      </c>
      <c r="U61" s="136" t="s">
        <v>34</v>
      </c>
      <c r="V61" s="65" t="s">
        <v>35</v>
      </c>
      <c r="W61" s="134" t="s">
        <v>43</v>
      </c>
      <c r="X61" s="181" t="s">
        <v>43</v>
      </c>
      <c r="Y61" s="63">
        <f>L61/(H61+L61)</f>
        <v>0</v>
      </c>
      <c r="Z61" s="64">
        <f t="shared" si="2"/>
        <v>0</v>
      </c>
      <c r="AA61" s="62">
        <f>R61/(N61+R61)</f>
        <v>1.3888888888888888E-2</v>
      </c>
      <c r="AB61" s="134" t="s">
        <v>43</v>
      </c>
      <c r="AC61" s="181" t="s">
        <v>43</v>
      </c>
      <c r="AD61" s="66">
        <f t="shared" si="3"/>
        <v>1.3888888888888888E-2</v>
      </c>
      <c r="AE61" s="99">
        <v>1</v>
      </c>
      <c r="AF61" s="100">
        <v>0</v>
      </c>
      <c r="AG61" s="99">
        <v>0</v>
      </c>
      <c r="AH61" s="100">
        <v>0</v>
      </c>
      <c r="AI61" s="99">
        <v>0</v>
      </c>
    </row>
    <row r="62" spans="1:35" s="65" customFormat="1">
      <c r="A62" s="1"/>
      <c r="B62" s="2"/>
      <c r="C62" s="17"/>
      <c r="D62" s="17"/>
      <c r="E62" s="17" t="s">
        <v>28</v>
      </c>
      <c r="F62" s="127" t="s">
        <v>42</v>
      </c>
      <c r="G62" s="128" t="s">
        <v>42</v>
      </c>
      <c r="H62" s="94">
        <v>78</v>
      </c>
      <c r="I62" s="95"/>
      <c r="J62" s="131" t="s">
        <v>43</v>
      </c>
      <c r="K62" s="132" t="s">
        <v>43</v>
      </c>
      <c r="L62" s="93">
        <v>0</v>
      </c>
      <c r="M62" s="95"/>
      <c r="N62" s="97">
        <v>72</v>
      </c>
      <c r="O62" s="134" t="s">
        <v>42</v>
      </c>
      <c r="P62" s="129" t="s">
        <v>42</v>
      </c>
      <c r="Q62" s="130"/>
      <c r="R62" s="62">
        <v>1</v>
      </c>
      <c r="S62" s="130" t="s">
        <v>43</v>
      </c>
      <c r="T62" s="135" t="s">
        <v>43</v>
      </c>
      <c r="U62" s="136"/>
      <c r="W62" s="134" t="s">
        <v>43</v>
      </c>
      <c r="X62" s="134" t="s">
        <v>43</v>
      </c>
      <c r="Y62" s="63">
        <f>L62/(H62+L62)</f>
        <v>0</v>
      </c>
      <c r="Z62" s="64">
        <f t="shared" si="2"/>
        <v>0</v>
      </c>
      <c r="AA62" s="62">
        <f>R62/(N62+R62)</f>
        <v>1.3698630136986301E-2</v>
      </c>
      <c r="AB62" s="134" t="s">
        <v>43</v>
      </c>
      <c r="AC62" s="134" t="s">
        <v>43</v>
      </c>
      <c r="AD62" s="66">
        <f t="shared" si="3"/>
        <v>1.3698630136986301E-2</v>
      </c>
      <c r="AE62" s="99"/>
      <c r="AF62" s="100"/>
      <c r="AG62" s="99"/>
      <c r="AH62" s="100"/>
      <c r="AI62" s="99"/>
    </row>
    <row r="63" spans="1:35" s="65" customFormat="1">
      <c r="A63" s="1"/>
      <c r="B63" s="2"/>
      <c r="C63" s="17"/>
      <c r="D63" s="17"/>
      <c r="E63" s="17" t="s">
        <v>29</v>
      </c>
      <c r="F63" s="127" t="s">
        <v>42</v>
      </c>
      <c r="G63" s="128" t="s">
        <v>42</v>
      </c>
      <c r="H63" s="94">
        <v>67</v>
      </c>
      <c r="I63" s="95"/>
      <c r="J63" s="131" t="s">
        <v>43</v>
      </c>
      <c r="K63" s="132" t="s">
        <v>43</v>
      </c>
      <c r="L63" s="93">
        <v>1</v>
      </c>
      <c r="M63" s="95"/>
      <c r="N63" s="97">
        <v>102</v>
      </c>
      <c r="O63" s="134" t="s">
        <v>42</v>
      </c>
      <c r="P63" s="129" t="s">
        <v>42</v>
      </c>
      <c r="Q63" s="130"/>
      <c r="R63" s="62">
        <v>0</v>
      </c>
      <c r="S63" s="130" t="s">
        <v>43</v>
      </c>
      <c r="T63" s="135" t="s">
        <v>43</v>
      </c>
      <c r="U63" s="136"/>
      <c r="W63" s="134" t="s">
        <v>43</v>
      </c>
      <c r="X63" s="134" t="s">
        <v>43</v>
      </c>
      <c r="Y63" s="63">
        <f>L63/(H63+L63)</f>
        <v>1.4705882352941176E-2</v>
      </c>
      <c r="Z63" s="64">
        <f t="shared" si="2"/>
        <v>1.4705882352941176E-2</v>
      </c>
      <c r="AA63" s="62">
        <f>R63/(N63+R63)</f>
        <v>0</v>
      </c>
      <c r="AB63" s="134" t="s">
        <v>43</v>
      </c>
      <c r="AC63" s="134" t="s">
        <v>43</v>
      </c>
      <c r="AD63" s="66">
        <f t="shared" si="3"/>
        <v>0</v>
      </c>
      <c r="AE63" s="99"/>
      <c r="AF63" s="100"/>
      <c r="AG63" s="99"/>
      <c r="AH63" s="100"/>
      <c r="AI63" s="99"/>
    </row>
    <row r="64" spans="1:35" s="89" customFormat="1">
      <c r="A64" s="75"/>
      <c r="B64" s="76"/>
      <c r="C64" s="77"/>
      <c r="D64" s="77"/>
      <c r="E64" s="77" t="s">
        <v>30</v>
      </c>
      <c r="F64" s="140" t="s">
        <v>42</v>
      </c>
      <c r="G64" s="141" t="s">
        <v>42</v>
      </c>
      <c r="H64" s="102">
        <v>57</v>
      </c>
      <c r="I64" s="103"/>
      <c r="J64" s="144" t="s">
        <v>43</v>
      </c>
      <c r="K64" s="145" t="s">
        <v>43</v>
      </c>
      <c r="L64" s="101">
        <v>0</v>
      </c>
      <c r="M64" s="103"/>
      <c r="N64" s="105">
        <v>112</v>
      </c>
      <c r="O64" s="147" t="s">
        <v>42</v>
      </c>
      <c r="P64" s="142" t="s">
        <v>42</v>
      </c>
      <c r="Q64" s="143"/>
      <c r="R64" s="86">
        <v>0</v>
      </c>
      <c r="S64" s="143" t="s">
        <v>43</v>
      </c>
      <c r="T64" s="148" t="s">
        <v>43</v>
      </c>
      <c r="U64" s="149"/>
      <c r="W64" s="147" t="s">
        <v>43</v>
      </c>
      <c r="X64" s="147" t="s">
        <v>43</v>
      </c>
      <c r="Y64" s="87">
        <f>L64/(H64+L64)</f>
        <v>0</v>
      </c>
      <c r="Z64" s="88">
        <f t="shared" si="2"/>
        <v>0</v>
      </c>
      <c r="AA64" s="86">
        <f>R64/(N64+R64)</f>
        <v>0</v>
      </c>
      <c r="AB64" s="147" t="s">
        <v>43</v>
      </c>
      <c r="AC64" s="147" t="s">
        <v>43</v>
      </c>
      <c r="AD64" s="90">
        <f t="shared" si="3"/>
        <v>0</v>
      </c>
      <c r="AE64" s="107"/>
      <c r="AF64" s="108"/>
      <c r="AG64" s="107"/>
      <c r="AH64" s="108"/>
      <c r="AI64" s="107"/>
    </row>
    <row r="65" spans="1:53" s="199" customFormat="1" ht="47.25">
      <c r="A65" s="182" t="s">
        <v>48</v>
      </c>
      <c r="B65" s="183" t="s">
        <v>49</v>
      </c>
      <c r="C65" s="17" t="s">
        <v>23</v>
      </c>
      <c r="D65" s="126" t="s">
        <v>24</v>
      </c>
      <c r="E65" s="17" t="s">
        <v>50</v>
      </c>
      <c r="F65" s="184"/>
      <c r="G65" s="185"/>
      <c r="H65" s="184"/>
      <c r="I65" s="186"/>
      <c r="J65" s="187"/>
      <c r="K65" s="188"/>
      <c r="L65" s="188"/>
      <c r="M65" s="189"/>
      <c r="N65" s="190"/>
      <c r="O65" s="191"/>
      <c r="P65" s="192"/>
      <c r="Q65" s="192"/>
      <c r="R65" s="188"/>
      <c r="S65" s="188"/>
      <c r="T65" s="193"/>
      <c r="U65" s="194" t="s">
        <v>34</v>
      </c>
      <c r="V65" s="195"/>
      <c r="W65" s="196"/>
      <c r="X65" s="191"/>
      <c r="Y65" s="197"/>
      <c r="Z65" s="198"/>
      <c r="AA65" s="191"/>
      <c r="AC65" s="191"/>
      <c r="AD65" s="200"/>
      <c r="AE65" s="201">
        <v>0</v>
      </c>
      <c r="AF65" s="202">
        <v>0</v>
      </c>
      <c r="AG65" s="203">
        <v>1</v>
      </c>
      <c r="AH65" s="204">
        <v>0</v>
      </c>
      <c r="AI65" s="205">
        <v>1</v>
      </c>
      <c r="AJ65" s="206"/>
      <c r="AK65" s="190"/>
      <c r="AL65" s="192"/>
      <c r="AM65" s="188"/>
      <c r="AN65" s="188"/>
      <c r="AO65" s="207"/>
      <c r="AP65" s="184"/>
      <c r="AQ65" s="207"/>
      <c r="AR65" s="208"/>
      <c r="AS65" s="187"/>
      <c r="AT65" s="188"/>
      <c r="AU65" s="188"/>
      <c r="BA65" s="209"/>
    </row>
    <row r="66" spans="1:53" s="199" customFormat="1">
      <c r="A66" s="1"/>
      <c r="B66" s="210">
        <v>5</v>
      </c>
      <c r="C66" s="17" t="s">
        <v>23</v>
      </c>
      <c r="D66" s="126" t="s">
        <v>24</v>
      </c>
      <c r="E66" s="17" t="s">
        <v>51</v>
      </c>
      <c r="F66" s="184"/>
      <c r="G66" s="185"/>
      <c r="H66" s="184"/>
      <c r="I66" s="186"/>
      <c r="J66" s="187"/>
      <c r="K66" s="188"/>
      <c r="L66" s="188"/>
      <c r="M66" s="189"/>
      <c r="N66" s="190"/>
      <c r="O66" s="191"/>
      <c r="P66" s="192"/>
      <c r="Q66" s="192"/>
      <c r="R66" s="188"/>
      <c r="S66" s="188"/>
      <c r="T66" s="193"/>
      <c r="U66" s="194" t="s">
        <v>34</v>
      </c>
      <c r="V66" s="195"/>
      <c r="W66" s="196"/>
      <c r="X66" s="191"/>
      <c r="Y66" s="197"/>
      <c r="Z66" s="211"/>
      <c r="AA66" s="191"/>
      <c r="AC66" s="191"/>
      <c r="AD66" s="200"/>
      <c r="AE66" s="201">
        <v>0</v>
      </c>
      <c r="AF66" s="202">
        <v>1</v>
      </c>
      <c r="AG66" s="203">
        <v>0</v>
      </c>
      <c r="AH66" s="204">
        <v>0</v>
      </c>
      <c r="AI66" s="205">
        <v>1</v>
      </c>
      <c r="AJ66" s="206"/>
      <c r="AK66" s="190"/>
      <c r="AL66" s="192"/>
      <c r="AM66" s="188"/>
      <c r="AN66" s="188"/>
      <c r="AO66" s="207"/>
      <c r="AP66" s="184"/>
      <c r="AQ66" s="207"/>
      <c r="AR66" s="208"/>
      <c r="AS66" s="187"/>
      <c r="AT66" s="188"/>
      <c r="AU66" s="188"/>
      <c r="BA66" s="209"/>
    </row>
    <row r="67" spans="1:53" s="199" customFormat="1">
      <c r="A67" s="1"/>
      <c r="B67" s="183" t="s">
        <v>52</v>
      </c>
      <c r="C67" s="17" t="s">
        <v>23</v>
      </c>
      <c r="D67" s="126" t="s">
        <v>24</v>
      </c>
      <c r="E67" s="17" t="s">
        <v>51</v>
      </c>
      <c r="F67" s="184"/>
      <c r="G67" s="185"/>
      <c r="H67" s="184"/>
      <c r="I67" s="186"/>
      <c r="J67" s="187"/>
      <c r="K67" s="188"/>
      <c r="L67" s="188"/>
      <c r="M67" s="189"/>
      <c r="N67" s="190"/>
      <c r="O67" s="191"/>
      <c r="P67" s="192"/>
      <c r="Q67" s="192"/>
      <c r="R67" s="188"/>
      <c r="S67" s="188"/>
      <c r="T67" s="193"/>
      <c r="U67" s="194" t="s">
        <v>34</v>
      </c>
      <c r="V67" s="195"/>
      <c r="W67" s="196"/>
      <c r="X67" s="191"/>
      <c r="Y67" s="197"/>
      <c r="Z67" s="211"/>
      <c r="AA67" s="191"/>
      <c r="AC67" s="191"/>
      <c r="AD67" s="200"/>
      <c r="AE67" s="201">
        <v>0</v>
      </c>
      <c r="AF67" s="202">
        <v>1</v>
      </c>
      <c r="AG67" s="203">
        <v>0</v>
      </c>
      <c r="AH67" s="204">
        <v>0</v>
      </c>
      <c r="AI67" s="205">
        <v>1</v>
      </c>
      <c r="AJ67" s="206"/>
      <c r="AK67" s="190"/>
      <c r="AL67" s="192"/>
      <c r="AM67" s="188"/>
      <c r="AN67" s="188"/>
      <c r="AO67" s="207"/>
      <c r="AP67" s="184"/>
      <c r="AQ67" s="207"/>
      <c r="AR67" s="208"/>
      <c r="AS67" s="187"/>
      <c r="AT67" s="188"/>
      <c r="AU67" s="188"/>
      <c r="BA67" s="209"/>
    </row>
    <row r="68" spans="1:53" s="199" customFormat="1">
      <c r="A68" s="1"/>
      <c r="B68" s="210">
        <v>29</v>
      </c>
      <c r="C68" s="17" t="s">
        <v>36</v>
      </c>
      <c r="D68" s="17" t="s">
        <v>37</v>
      </c>
      <c r="E68" s="17" t="s">
        <v>53</v>
      </c>
      <c r="F68" s="184"/>
      <c r="G68" s="185"/>
      <c r="H68" s="184"/>
      <c r="I68" s="186"/>
      <c r="J68" s="187"/>
      <c r="K68" s="188"/>
      <c r="L68" s="188"/>
      <c r="M68" s="189"/>
      <c r="N68" s="190"/>
      <c r="O68" s="191"/>
      <c r="P68" s="192"/>
      <c r="Q68" s="192"/>
      <c r="R68" s="188"/>
      <c r="S68" s="188"/>
      <c r="T68" s="193"/>
      <c r="U68" s="194" t="s">
        <v>34</v>
      </c>
      <c r="V68" s="195"/>
      <c r="W68" s="196"/>
      <c r="X68" s="191"/>
      <c r="Y68" s="197"/>
      <c r="Z68" s="211"/>
      <c r="AA68" s="191"/>
      <c r="AC68" s="191"/>
      <c r="AD68" s="200"/>
      <c r="AE68" s="201">
        <v>0</v>
      </c>
      <c r="AF68" s="202">
        <v>1</v>
      </c>
      <c r="AG68" s="203">
        <v>0</v>
      </c>
      <c r="AH68" s="204">
        <v>0</v>
      </c>
      <c r="AI68" s="205">
        <v>1</v>
      </c>
      <c r="AJ68" s="206"/>
      <c r="AK68" s="190"/>
      <c r="AL68" s="192"/>
      <c r="AM68" s="188"/>
      <c r="AN68" s="188"/>
      <c r="AO68" s="207"/>
      <c r="AP68" s="184"/>
      <c r="AQ68" s="207"/>
      <c r="AR68" s="208"/>
      <c r="AS68" s="187"/>
      <c r="AT68" s="188"/>
      <c r="AU68" s="188"/>
      <c r="BA68" s="209"/>
    </row>
    <row r="69" spans="1:53" s="229" customFormat="1" ht="16.5" thickBot="1">
      <c r="A69" s="109"/>
      <c r="B69" s="212">
        <v>32</v>
      </c>
      <c r="C69" s="111" t="s">
        <v>23</v>
      </c>
      <c r="D69" s="213" t="s">
        <v>24</v>
      </c>
      <c r="E69" s="111" t="s">
        <v>54</v>
      </c>
      <c r="F69" s="214"/>
      <c r="G69" s="215"/>
      <c r="H69" s="214"/>
      <c r="I69" s="216"/>
      <c r="J69" s="217"/>
      <c r="K69" s="218"/>
      <c r="L69" s="218"/>
      <c r="M69" s="219"/>
      <c r="N69" s="220"/>
      <c r="O69" s="221"/>
      <c r="P69" s="222"/>
      <c r="Q69" s="222"/>
      <c r="R69" s="218"/>
      <c r="S69" s="218"/>
      <c r="T69" s="223"/>
      <c r="U69" s="224" t="s">
        <v>34</v>
      </c>
      <c r="V69" s="225"/>
      <c r="W69" s="226"/>
      <c r="X69" s="221"/>
      <c r="Y69" s="227"/>
      <c r="Z69" s="228"/>
      <c r="AA69" s="221"/>
      <c r="AC69" s="221"/>
      <c r="AD69" s="228"/>
      <c r="AE69" s="230">
        <v>0</v>
      </c>
      <c r="AF69" s="231">
        <v>0</v>
      </c>
      <c r="AG69" s="232">
        <v>1</v>
      </c>
      <c r="AH69" s="233">
        <v>0</v>
      </c>
      <c r="AI69" s="234">
        <v>1</v>
      </c>
      <c r="AJ69" s="235"/>
      <c r="AK69" s="220"/>
      <c r="AL69" s="222"/>
      <c r="AM69" s="218"/>
      <c r="AN69" s="218"/>
      <c r="AO69" s="236"/>
      <c r="AP69" s="214"/>
      <c r="AQ69" s="236"/>
      <c r="AR69" s="237"/>
      <c r="AS69" s="217"/>
      <c r="AT69" s="218"/>
      <c r="AU69" s="218"/>
      <c r="BA69" s="238"/>
    </row>
    <row r="70" spans="1:53" s="4" customFormat="1" ht="16.5" thickTop="1">
      <c r="A70" s="1" t="s">
        <v>55</v>
      </c>
      <c r="B70" s="2">
        <v>5</v>
      </c>
      <c r="C70" s="17" t="s">
        <v>31</v>
      </c>
      <c r="D70" s="17" t="s">
        <v>32</v>
      </c>
      <c r="E70" s="17" t="s">
        <v>25</v>
      </c>
      <c r="F70" s="152" t="s">
        <v>42</v>
      </c>
      <c r="G70" s="164">
        <v>11</v>
      </c>
      <c r="H70" s="165" t="s">
        <v>42</v>
      </c>
      <c r="I70" s="155"/>
      <c r="J70" s="153" t="s">
        <v>43</v>
      </c>
      <c r="K70" s="166">
        <v>0</v>
      </c>
      <c r="L70" s="164" t="s">
        <v>43</v>
      </c>
      <c r="M70" s="155"/>
      <c r="N70" s="167" t="s">
        <v>42</v>
      </c>
      <c r="O70" s="154" t="s">
        <v>42</v>
      </c>
      <c r="P70" s="165" t="s">
        <v>42</v>
      </c>
      <c r="Q70" s="155"/>
      <c r="R70" s="154" t="s">
        <v>43</v>
      </c>
      <c r="S70" s="155" t="s">
        <v>43</v>
      </c>
      <c r="T70" s="168" t="s">
        <v>43</v>
      </c>
      <c r="U70" s="169" t="s">
        <v>34</v>
      </c>
      <c r="V70" s="4" t="s">
        <v>35</v>
      </c>
      <c r="W70" s="133" t="s">
        <v>43</v>
      </c>
      <c r="X70" s="62">
        <f t="shared" ref="X70:Y131" si="9">K70/(G70+K70)</f>
        <v>0</v>
      </c>
      <c r="Y70" s="239" t="s">
        <v>43</v>
      </c>
      <c r="Z70" s="64">
        <f t="shared" ref="Z70:Z104" si="10">AVERAGE(W70:Y70)</f>
        <v>0</v>
      </c>
      <c r="AA70" s="133" t="s">
        <v>43</v>
      </c>
      <c r="AB70" s="128" t="s">
        <v>43</v>
      </c>
      <c r="AC70" s="129" t="s">
        <v>43</v>
      </c>
      <c r="AD70" s="66"/>
      <c r="AE70" s="74">
        <v>0</v>
      </c>
      <c r="AF70" s="14">
        <v>1</v>
      </c>
      <c r="AG70" s="74">
        <v>0</v>
      </c>
      <c r="AH70" s="14">
        <v>0</v>
      </c>
      <c r="AI70" s="74">
        <v>0</v>
      </c>
    </row>
    <row r="71" spans="1:53" s="4" customFormat="1">
      <c r="A71" s="1"/>
      <c r="B71" s="2"/>
      <c r="C71" s="17"/>
      <c r="D71" s="17"/>
      <c r="E71" s="17" t="s">
        <v>28</v>
      </c>
      <c r="F71" s="152" t="s">
        <v>42</v>
      </c>
      <c r="G71" s="164">
        <v>7</v>
      </c>
      <c r="H71" s="165" t="s">
        <v>42</v>
      </c>
      <c r="I71" s="155"/>
      <c r="J71" s="153" t="s">
        <v>43</v>
      </c>
      <c r="K71" s="166">
        <v>0</v>
      </c>
      <c r="L71" s="164" t="s">
        <v>43</v>
      </c>
      <c r="M71" s="155"/>
      <c r="N71" s="167" t="s">
        <v>42</v>
      </c>
      <c r="O71" s="154" t="s">
        <v>42</v>
      </c>
      <c r="P71" s="165" t="s">
        <v>42</v>
      </c>
      <c r="Q71" s="155"/>
      <c r="R71" s="154" t="s">
        <v>43</v>
      </c>
      <c r="S71" s="155" t="s">
        <v>43</v>
      </c>
      <c r="T71" s="168" t="s">
        <v>43</v>
      </c>
      <c r="U71" s="169"/>
      <c r="W71" s="133" t="s">
        <v>43</v>
      </c>
      <c r="X71" s="62">
        <f t="shared" si="9"/>
        <v>0</v>
      </c>
      <c r="Y71" s="134" t="s">
        <v>43</v>
      </c>
      <c r="Z71" s="64">
        <f t="shared" si="10"/>
        <v>0</v>
      </c>
      <c r="AA71" s="133" t="s">
        <v>43</v>
      </c>
      <c r="AB71" s="128" t="s">
        <v>43</v>
      </c>
      <c r="AC71" s="129" t="s">
        <v>43</v>
      </c>
      <c r="AD71" s="66"/>
      <c r="AE71" s="74"/>
      <c r="AF71" s="14"/>
      <c r="AG71" s="74"/>
      <c r="AH71" s="14"/>
      <c r="AI71" s="74"/>
    </row>
    <row r="72" spans="1:53" s="4" customFormat="1">
      <c r="A72" s="1"/>
      <c r="B72" s="2"/>
      <c r="C72" s="17"/>
      <c r="D72" s="17"/>
      <c r="E72" s="17" t="s">
        <v>29</v>
      </c>
      <c r="F72" s="152" t="s">
        <v>42</v>
      </c>
      <c r="G72" s="164">
        <v>13</v>
      </c>
      <c r="H72" s="165" t="s">
        <v>42</v>
      </c>
      <c r="I72" s="155"/>
      <c r="J72" s="153" t="s">
        <v>43</v>
      </c>
      <c r="K72" s="166">
        <v>2</v>
      </c>
      <c r="L72" s="164" t="s">
        <v>43</v>
      </c>
      <c r="M72" s="155"/>
      <c r="N72" s="167" t="s">
        <v>42</v>
      </c>
      <c r="O72" s="154" t="s">
        <v>42</v>
      </c>
      <c r="P72" s="165" t="s">
        <v>42</v>
      </c>
      <c r="Q72" s="155"/>
      <c r="R72" s="154" t="s">
        <v>43</v>
      </c>
      <c r="S72" s="155" t="s">
        <v>43</v>
      </c>
      <c r="T72" s="168" t="s">
        <v>43</v>
      </c>
      <c r="U72" s="169"/>
      <c r="W72" s="133" t="s">
        <v>43</v>
      </c>
      <c r="X72" s="62">
        <f t="shared" si="9"/>
        <v>0.13333333333333333</v>
      </c>
      <c r="Y72" s="134" t="s">
        <v>43</v>
      </c>
      <c r="Z72" s="64">
        <f t="shared" si="10"/>
        <v>0.13333333333333333</v>
      </c>
      <c r="AA72" s="133" t="s">
        <v>43</v>
      </c>
      <c r="AB72" s="128" t="s">
        <v>43</v>
      </c>
      <c r="AC72" s="129" t="s">
        <v>43</v>
      </c>
      <c r="AD72" s="66"/>
      <c r="AE72" s="74"/>
      <c r="AF72" s="14"/>
      <c r="AG72" s="74"/>
      <c r="AH72" s="14"/>
      <c r="AI72" s="74"/>
    </row>
    <row r="73" spans="1:53" s="78" customFormat="1">
      <c r="A73" s="75"/>
      <c r="B73" s="76"/>
      <c r="C73" s="77"/>
      <c r="D73" s="77"/>
      <c r="E73" s="77" t="s">
        <v>30</v>
      </c>
      <c r="F73" s="156" t="s">
        <v>42</v>
      </c>
      <c r="G73" s="170">
        <v>14</v>
      </c>
      <c r="H73" s="171" t="s">
        <v>42</v>
      </c>
      <c r="I73" s="159"/>
      <c r="J73" s="157" t="s">
        <v>43</v>
      </c>
      <c r="K73" s="172">
        <v>0</v>
      </c>
      <c r="L73" s="170" t="s">
        <v>43</v>
      </c>
      <c r="M73" s="159"/>
      <c r="N73" s="173" t="s">
        <v>42</v>
      </c>
      <c r="O73" s="158" t="s">
        <v>42</v>
      </c>
      <c r="P73" s="171" t="s">
        <v>42</v>
      </c>
      <c r="Q73" s="159"/>
      <c r="R73" s="158" t="s">
        <v>43</v>
      </c>
      <c r="S73" s="159" t="s">
        <v>43</v>
      </c>
      <c r="T73" s="174" t="s">
        <v>43</v>
      </c>
      <c r="U73" s="175"/>
      <c r="W73" s="146" t="s">
        <v>43</v>
      </c>
      <c r="X73" s="86">
        <f t="shared" si="9"/>
        <v>0</v>
      </c>
      <c r="Y73" s="147" t="s">
        <v>43</v>
      </c>
      <c r="Z73" s="88">
        <f t="shared" si="10"/>
        <v>0</v>
      </c>
      <c r="AA73" s="146" t="s">
        <v>43</v>
      </c>
      <c r="AB73" s="141" t="s">
        <v>43</v>
      </c>
      <c r="AC73" s="142" t="s">
        <v>43</v>
      </c>
      <c r="AD73" s="90"/>
      <c r="AE73" s="91"/>
      <c r="AF73" s="92"/>
      <c r="AG73" s="91"/>
      <c r="AH73" s="92"/>
      <c r="AI73" s="91"/>
    </row>
    <row r="74" spans="1:53" s="65" customFormat="1">
      <c r="A74" s="4"/>
      <c r="B74" s="2">
        <v>15</v>
      </c>
      <c r="C74" s="17" t="s">
        <v>23</v>
      </c>
      <c r="D74" s="126" t="s">
        <v>24</v>
      </c>
      <c r="E74" s="17" t="s">
        <v>25</v>
      </c>
      <c r="F74" s="65">
        <f>(18+14)/2</f>
        <v>16</v>
      </c>
      <c r="G74" s="93">
        <f>(15+9)/2</f>
        <v>12</v>
      </c>
      <c r="H74" s="94">
        <f>(14+21)/2</f>
        <v>17.5</v>
      </c>
      <c r="I74" s="95"/>
      <c r="J74" s="96">
        <v>1</v>
      </c>
      <c r="K74" s="95">
        <v>0</v>
      </c>
      <c r="L74" s="93">
        <v>1</v>
      </c>
      <c r="M74" s="95"/>
      <c r="N74" s="97">
        <f>(18+18)/2</f>
        <v>18</v>
      </c>
      <c r="O74" s="96">
        <f>(16+13)/2</f>
        <v>14.5</v>
      </c>
      <c r="P74" s="94">
        <f>(16+22)/2</f>
        <v>19</v>
      </c>
      <c r="Q74" s="95"/>
      <c r="R74" s="62">
        <v>2</v>
      </c>
      <c r="S74" s="95">
        <v>2</v>
      </c>
      <c r="T74" s="93">
        <v>0</v>
      </c>
      <c r="U74" s="98" t="s">
        <v>34</v>
      </c>
      <c r="V74" s="65" t="s">
        <v>35</v>
      </c>
      <c r="W74" s="61">
        <f t="shared" ref="W74:W131" si="11">J74/(F74+J74)</f>
        <v>5.8823529411764705E-2</v>
      </c>
      <c r="X74" s="62">
        <f t="shared" si="9"/>
        <v>0</v>
      </c>
      <c r="Y74" s="63">
        <f t="shared" si="9"/>
        <v>5.4054054054054057E-2</v>
      </c>
      <c r="Z74" s="64">
        <f t="shared" si="10"/>
        <v>3.7625861155272923E-2</v>
      </c>
      <c r="AA74" s="62">
        <f t="shared" ref="AA74:AC131" si="12">R74/(N74+R74)</f>
        <v>0.1</v>
      </c>
      <c r="AB74" s="65">
        <f t="shared" si="12"/>
        <v>0.12121212121212122</v>
      </c>
      <c r="AC74" s="62">
        <f t="shared" si="12"/>
        <v>0</v>
      </c>
      <c r="AD74" s="66">
        <f t="shared" ref="AD74:AD108" si="13">AVERAGE(AA74:AC74)</f>
        <v>7.373737373737374E-2</v>
      </c>
      <c r="AE74" s="99">
        <v>1</v>
      </c>
      <c r="AF74" s="100">
        <v>0</v>
      </c>
      <c r="AG74" s="99">
        <v>0</v>
      </c>
      <c r="AH74" s="100">
        <v>1</v>
      </c>
      <c r="AI74" s="99">
        <v>0</v>
      </c>
    </row>
    <row r="75" spans="1:53" s="65" customFormat="1">
      <c r="A75" s="1"/>
      <c r="B75" s="2"/>
      <c r="C75" s="17"/>
      <c r="D75" s="17"/>
      <c r="E75" s="17" t="s">
        <v>28</v>
      </c>
      <c r="F75" s="65">
        <f>(12+23)/2</f>
        <v>17.5</v>
      </c>
      <c r="G75" s="93">
        <f>(11+19)/2</f>
        <v>15</v>
      </c>
      <c r="H75" s="94">
        <f>(8+16)/2</f>
        <v>12</v>
      </c>
      <c r="I75" s="95"/>
      <c r="J75" s="96">
        <v>2</v>
      </c>
      <c r="K75" s="95">
        <v>1</v>
      </c>
      <c r="L75" s="93">
        <v>0</v>
      </c>
      <c r="M75" s="95"/>
      <c r="N75" s="97">
        <f>(10+17)/2</f>
        <v>13.5</v>
      </c>
      <c r="O75" s="96">
        <f>(11+21)/2</f>
        <v>16</v>
      </c>
      <c r="P75" s="94">
        <f>(8+12)/2</f>
        <v>10</v>
      </c>
      <c r="Q75" s="95"/>
      <c r="R75" s="62">
        <v>1</v>
      </c>
      <c r="S75" s="95">
        <v>0</v>
      </c>
      <c r="T75" s="93">
        <v>1</v>
      </c>
      <c r="U75" s="98"/>
      <c r="W75" s="61">
        <f t="shared" si="11"/>
        <v>0.10256410256410256</v>
      </c>
      <c r="X75" s="62">
        <f t="shared" si="9"/>
        <v>6.25E-2</v>
      </c>
      <c r="Y75" s="63">
        <f t="shared" si="9"/>
        <v>0</v>
      </c>
      <c r="Z75" s="64">
        <f t="shared" si="10"/>
        <v>5.502136752136752E-2</v>
      </c>
      <c r="AA75" s="62">
        <f t="shared" si="12"/>
        <v>6.8965517241379309E-2</v>
      </c>
      <c r="AB75" s="65">
        <f t="shared" si="12"/>
        <v>0</v>
      </c>
      <c r="AC75" s="62">
        <f t="shared" si="12"/>
        <v>9.0909090909090912E-2</v>
      </c>
      <c r="AD75" s="66">
        <f t="shared" si="13"/>
        <v>5.329153605015674E-2</v>
      </c>
      <c r="AE75" s="99"/>
      <c r="AF75" s="100"/>
      <c r="AG75" s="99"/>
      <c r="AH75" s="100"/>
      <c r="AI75" s="99"/>
    </row>
    <row r="76" spans="1:53" s="65" customFormat="1">
      <c r="A76" s="1"/>
      <c r="B76" s="2"/>
      <c r="C76" s="17"/>
      <c r="D76" s="17"/>
      <c r="E76" s="17" t="s">
        <v>29</v>
      </c>
      <c r="F76" s="65">
        <f>(9+14)/2</f>
        <v>11.5</v>
      </c>
      <c r="G76" s="93">
        <f>(10+12)/2</f>
        <v>11</v>
      </c>
      <c r="H76" s="94">
        <f>(16+9)/2</f>
        <v>12.5</v>
      </c>
      <c r="I76" s="95"/>
      <c r="J76" s="96">
        <v>1</v>
      </c>
      <c r="K76" s="95">
        <v>1</v>
      </c>
      <c r="L76" s="93">
        <v>1</v>
      </c>
      <c r="M76" s="95"/>
      <c r="N76" s="97">
        <f>(18+29)/2</f>
        <v>23.5</v>
      </c>
      <c r="O76" s="96">
        <f>(13+21)/2</f>
        <v>17</v>
      </c>
      <c r="P76" s="94">
        <f>(12+19)/2</f>
        <v>15.5</v>
      </c>
      <c r="Q76" s="95"/>
      <c r="R76" s="62">
        <v>2</v>
      </c>
      <c r="S76" s="95">
        <v>0</v>
      </c>
      <c r="T76" s="93">
        <v>1</v>
      </c>
      <c r="U76" s="98"/>
      <c r="W76" s="61">
        <f t="shared" si="11"/>
        <v>0.08</v>
      </c>
      <c r="X76" s="62">
        <f t="shared" si="9"/>
        <v>8.3333333333333329E-2</v>
      </c>
      <c r="Y76" s="63">
        <f t="shared" si="9"/>
        <v>7.407407407407407E-2</v>
      </c>
      <c r="Z76" s="64">
        <f t="shared" si="10"/>
        <v>7.9135802469135805E-2</v>
      </c>
      <c r="AA76" s="62">
        <f t="shared" si="12"/>
        <v>7.8431372549019607E-2</v>
      </c>
      <c r="AB76" s="65">
        <f t="shared" si="12"/>
        <v>0</v>
      </c>
      <c r="AC76" s="62">
        <f t="shared" si="12"/>
        <v>6.0606060606060608E-2</v>
      </c>
      <c r="AD76" s="66">
        <f t="shared" si="13"/>
        <v>4.6345811051693407E-2</v>
      </c>
      <c r="AE76" s="99"/>
      <c r="AF76" s="100"/>
      <c r="AG76" s="99"/>
      <c r="AH76" s="100"/>
      <c r="AI76" s="99"/>
    </row>
    <row r="77" spans="1:53" s="89" customFormat="1">
      <c r="A77" s="75"/>
      <c r="B77" s="76"/>
      <c r="C77" s="77"/>
      <c r="D77" s="77"/>
      <c r="E77" s="77" t="s">
        <v>30</v>
      </c>
      <c r="F77" s="89">
        <f>(16+5)/2</f>
        <v>10.5</v>
      </c>
      <c r="G77" s="101">
        <f>(17+10)/2</f>
        <v>13.5</v>
      </c>
      <c r="H77" s="102">
        <f>(13+6)/2</f>
        <v>9.5</v>
      </c>
      <c r="I77" s="103"/>
      <c r="J77" s="104">
        <v>0</v>
      </c>
      <c r="K77" s="103">
        <v>0</v>
      </c>
      <c r="L77" s="101">
        <v>1</v>
      </c>
      <c r="M77" s="103"/>
      <c r="N77" s="105">
        <f>(19+12)/2</f>
        <v>15.5</v>
      </c>
      <c r="O77" s="104">
        <f>(20+8)/2</f>
        <v>14</v>
      </c>
      <c r="P77" s="102">
        <f>(17+17)/2</f>
        <v>17</v>
      </c>
      <c r="Q77" s="103"/>
      <c r="R77" s="86">
        <v>0</v>
      </c>
      <c r="S77" s="103">
        <v>0</v>
      </c>
      <c r="T77" s="101">
        <v>0</v>
      </c>
      <c r="U77" s="106"/>
      <c r="W77" s="85">
        <f t="shared" si="11"/>
        <v>0</v>
      </c>
      <c r="X77" s="86">
        <f t="shared" si="9"/>
        <v>0</v>
      </c>
      <c r="Y77" s="87">
        <f t="shared" si="9"/>
        <v>9.5238095238095233E-2</v>
      </c>
      <c r="Z77" s="88">
        <f t="shared" si="10"/>
        <v>3.1746031746031744E-2</v>
      </c>
      <c r="AA77" s="86">
        <f t="shared" si="12"/>
        <v>0</v>
      </c>
      <c r="AB77" s="89">
        <f t="shared" si="12"/>
        <v>0</v>
      </c>
      <c r="AC77" s="86">
        <f t="shared" si="12"/>
        <v>0</v>
      </c>
      <c r="AD77" s="90">
        <f t="shared" si="13"/>
        <v>0</v>
      </c>
      <c r="AE77" s="107"/>
      <c r="AF77" s="108"/>
      <c r="AG77" s="107"/>
      <c r="AH77" s="108"/>
      <c r="AI77" s="107"/>
    </row>
    <row r="78" spans="1:53" s="244" customFormat="1" ht="48" thickBot="1">
      <c r="A78" s="240" t="s">
        <v>56</v>
      </c>
      <c r="B78" s="241">
        <v>2</v>
      </c>
      <c r="C78" s="242" t="s">
        <v>31</v>
      </c>
      <c r="D78" s="242" t="s">
        <v>32</v>
      </c>
      <c r="E78" s="242" t="s">
        <v>57</v>
      </c>
      <c r="F78" s="243"/>
      <c r="H78" s="245"/>
      <c r="I78" s="246"/>
      <c r="J78" s="247"/>
      <c r="K78" s="246"/>
      <c r="L78" s="246"/>
      <c r="M78" s="248"/>
      <c r="N78" s="246"/>
      <c r="P78" s="246"/>
      <c r="Q78" s="249"/>
      <c r="R78" s="246"/>
      <c r="S78" s="246"/>
      <c r="T78" s="250"/>
      <c r="U78" s="251" t="s">
        <v>34</v>
      </c>
      <c r="V78" s="249"/>
      <c r="W78" s="252"/>
      <c r="X78" s="253"/>
      <c r="Y78" s="254"/>
      <c r="Z78" s="255"/>
      <c r="AA78" s="253"/>
      <c r="AC78" s="253"/>
      <c r="AD78" s="255"/>
      <c r="AE78" s="256">
        <v>0</v>
      </c>
      <c r="AF78" s="257">
        <v>1</v>
      </c>
      <c r="AG78" s="256">
        <v>0</v>
      </c>
      <c r="AH78" s="257">
        <v>0</v>
      </c>
      <c r="AI78" s="258">
        <v>1</v>
      </c>
      <c r="AJ78" s="250"/>
      <c r="AK78" s="246"/>
      <c r="AL78" s="247"/>
      <c r="AM78" s="246"/>
      <c r="AN78" s="246"/>
      <c r="AO78" s="250"/>
      <c r="AP78" s="246"/>
      <c r="AQ78" s="250"/>
      <c r="AR78" s="246"/>
      <c r="AS78" s="247"/>
      <c r="AT78" s="246"/>
      <c r="AU78" s="246"/>
      <c r="BA78" s="259"/>
    </row>
    <row r="79" spans="1:53" s="4" customFormat="1" ht="16.5" thickTop="1">
      <c r="A79" s="1" t="s">
        <v>58</v>
      </c>
      <c r="B79" s="260" t="s">
        <v>59</v>
      </c>
      <c r="C79" s="17" t="s">
        <v>23</v>
      </c>
      <c r="D79" s="126" t="s">
        <v>24</v>
      </c>
      <c r="E79" s="17" t="s">
        <v>25</v>
      </c>
      <c r="F79" s="4">
        <f>(34+38+6+40+23)/5</f>
        <v>28.2</v>
      </c>
      <c r="G79" s="69">
        <f>(23+37+5+36+20)/5</f>
        <v>24.2</v>
      </c>
      <c r="H79" s="70">
        <f>(40+54+13+46+26)/5</f>
        <v>35.799999999999997</v>
      </c>
      <c r="I79" s="5"/>
      <c r="J79" s="71">
        <v>2</v>
      </c>
      <c r="K79" s="5">
        <v>3</v>
      </c>
      <c r="L79" s="69">
        <v>1</v>
      </c>
      <c r="M79" s="5"/>
      <c r="N79" s="3">
        <f>(31+40+9+32+19)/5</f>
        <v>26.2</v>
      </c>
      <c r="O79" s="71">
        <f>(30+34+9+32+19)/5</f>
        <v>24.8</v>
      </c>
      <c r="P79" s="70">
        <f>(53+61+9+47+28)/5</f>
        <v>39.6</v>
      </c>
      <c r="Q79" s="5"/>
      <c r="R79" s="17">
        <v>1</v>
      </c>
      <c r="S79" s="5">
        <v>1</v>
      </c>
      <c r="T79" s="69">
        <v>2</v>
      </c>
      <c r="U79" s="73" t="s">
        <v>34</v>
      </c>
      <c r="V79" s="4" t="s">
        <v>35</v>
      </c>
      <c r="W79" s="61">
        <f t="shared" si="11"/>
        <v>6.6225165562913912E-2</v>
      </c>
      <c r="X79" s="62">
        <f t="shared" si="9"/>
        <v>0.11029411764705882</v>
      </c>
      <c r="Y79" s="63">
        <f t="shared" si="9"/>
        <v>2.7173913043478264E-2</v>
      </c>
      <c r="Z79" s="64">
        <f t="shared" si="10"/>
        <v>6.7897732084483672E-2</v>
      </c>
      <c r="AA79" s="62">
        <f t="shared" si="12"/>
        <v>3.6764705882352942E-2</v>
      </c>
      <c r="AB79" s="65">
        <f t="shared" si="12"/>
        <v>3.875968992248062E-2</v>
      </c>
      <c r="AC79" s="62">
        <f t="shared" si="12"/>
        <v>4.8076923076923073E-2</v>
      </c>
      <c r="AD79" s="66">
        <f t="shared" si="13"/>
        <v>4.1200439627252207E-2</v>
      </c>
      <c r="AE79" s="74">
        <v>1</v>
      </c>
      <c r="AF79" s="14">
        <v>0</v>
      </c>
      <c r="AG79" s="74">
        <v>0</v>
      </c>
      <c r="AH79" s="14">
        <v>1</v>
      </c>
      <c r="AI79" s="74">
        <v>0</v>
      </c>
    </row>
    <row r="80" spans="1:53" s="4" customFormat="1">
      <c r="A80" s="1"/>
      <c r="B80" s="2"/>
      <c r="C80" s="17"/>
      <c r="D80" s="17"/>
      <c r="E80" s="17" t="s">
        <v>28</v>
      </c>
      <c r="F80" s="4">
        <f>(30+57+13+43+27)/5</f>
        <v>34</v>
      </c>
      <c r="G80" s="69">
        <f>(36+38+7+26+14)/5</f>
        <v>24.2</v>
      </c>
      <c r="H80" s="70">
        <f>(27+56+10+48+19)/5</f>
        <v>32</v>
      </c>
      <c r="I80" s="5"/>
      <c r="J80" s="71">
        <v>1</v>
      </c>
      <c r="K80" s="5">
        <v>1</v>
      </c>
      <c r="L80" s="69">
        <v>2</v>
      </c>
      <c r="M80" s="5"/>
      <c r="N80" s="3">
        <f>(30+24+13+21+16)/5</f>
        <v>20.8</v>
      </c>
      <c r="O80" s="71">
        <f>(23+37+6+20+15)/5</f>
        <v>20.2</v>
      </c>
      <c r="P80" s="70">
        <f>(29+28+7+17+21)/5</f>
        <v>20.399999999999999</v>
      </c>
      <c r="Q80" s="5"/>
      <c r="R80" s="17">
        <v>2</v>
      </c>
      <c r="S80" s="5">
        <v>0</v>
      </c>
      <c r="T80" s="69">
        <v>0</v>
      </c>
      <c r="U80" s="73"/>
      <c r="W80" s="61">
        <f t="shared" si="11"/>
        <v>2.8571428571428571E-2</v>
      </c>
      <c r="X80" s="62">
        <f t="shared" si="9"/>
        <v>3.968253968253968E-2</v>
      </c>
      <c r="Y80" s="63">
        <f t="shared" si="9"/>
        <v>5.8823529411764705E-2</v>
      </c>
      <c r="Z80" s="64">
        <f t="shared" si="10"/>
        <v>4.2359165888577653E-2</v>
      </c>
      <c r="AA80" s="62">
        <f t="shared" si="12"/>
        <v>8.771929824561403E-2</v>
      </c>
      <c r="AB80" s="65">
        <f t="shared" si="12"/>
        <v>0</v>
      </c>
      <c r="AC80" s="62">
        <f t="shared" si="12"/>
        <v>0</v>
      </c>
      <c r="AD80" s="66">
        <f t="shared" si="13"/>
        <v>2.9239766081871343E-2</v>
      </c>
      <c r="AE80" s="74"/>
      <c r="AF80" s="14"/>
      <c r="AG80" s="74"/>
      <c r="AH80" s="14"/>
      <c r="AI80" s="74"/>
    </row>
    <row r="81" spans="1:53" s="4" customFormat="1">
      <c r="A81" s="1"/>
      <c r="B81" s="2"/>
      <c r="C81" s="17"/>
      <c r="D81" s="17"/>
      <c r="E81" s="17" t="s">
        <v>29</v>
      </c>
      <c r="F81" s="4">
        <f>(21+18+7+15+13)/5</f>
        <v>14.8</v>
      </c>
      <c r="G81" s="69">
        <f>(37+29+9+23+14)/5</f>
        <v>22.4</v>
      </c>
      <c r="H81" s="70">
        <f>(28+40+7+22+17)/5</f>
        <v>22.8</v>
      </c>
      <c r="I81" s="5"/>
      <c r="J81" s="71">
        <v>3</v>
      </c>
      <c r="K81" s="5">
        <v>1</v>
      </c>
      <c r="L81" s="69">
        <v>1</v>
      </c>
      <c r="M81" s="5"/>
      <c r="N81" s="3">
        <f>(53+76+14+53+29)/5</f>
        <v>45</v>
      </c>
      <c r="O81" s="71">
        <f>(38+53+7+40+36)/5</f>
        <v>34.799999999999997</v>
      </c>
      <c r="P81" s="70">
        <f>(54+50+5+49+20)/5</f>
        <v>35.6</v>
      </c>
      <c r="Q81" s="5"/>
      <c r="R81" s="17">
        <v>0</v>
      </c>
      <c r="S81" s="5">
        <v>0</v>
      </c>
      <c r="T81" s="69">
        <v>0</v>
      </c>
      <c r="U81" s="73"/>
      <c r="W81" s="61">
        <f t="shared" si="11"/>
        <v>0.16853932584269662</v>
      </c>
      <c r="X81" s="62">
        <f t="shared" si="9"/>
        <v>4.2735042735042736E-2</v>
      </c>
      <c r="Y81" s="63">
        <f t="shared" si="9"/>
        <v>4.2016806722689072E-2</v>
      </c>
      <c r="Z81" s="64">
        <f t="shared" si="10"/>
        <v>8.4430391766809484E-2</v>
      </c>
      <c r="AA81" s="62">
        <f t="shared" si="12"/>
        <v>0</v>
      </c>
      <c r="AB81" s="65">
        <f t="shared" si="12"/>
        <v>0</v>
      </c>
      <c r="AC81" s="62">
        <f t="shared" si="12"/>
        <v>0</v>
      </c>
      <c r="AD81" s="66">
        <f t="shared" si="13"/>
        <v>0</v>
      </c>
      <c r="AE81" s="74"/>
      <c r="AF81" s="14"/>
      <c r="AG81" s="74"/>
      <c r="AH81" s="14"/>
      <c r="AI81" s="74"/>
    </row>
    <row r="82" spans="1:53" s="78" customFormat="1">
      <c r="A82" s="75"/>
      <c r="B82" s="76"/>
      <c r="C82" s="77"/>
      <c r="D82" s="77"/>
      <c r="E82" s="77" t="s">
        <v>30</v>
      </c>
      <c r="F82" s="78">
        <f>(22+33+8+16+19)/5</f>
        <v>19.600000000000001</v>
      </c>
      <c r="G82" s="79">
        <f>(21+31+9+17+18)/5</f>
        <v>19.2</v>
      </c>
      <c r="H82" s="80">
        <f>(21+23+2+16+10)/5</f>
        <v>14.4</v>
      </c>
      <c r="I82" s="81"/>
      <c r="J82" s="82">
        <v>1</v>
      </c>
      <c r="K82" s="81">
        <v>2</v>
      </c>
      <c r="L82" s="79">
        <v>0</v>
      </c>
      <c r="M82" s="81"/>
      <c r="N82" s="124">
        <f>(44+52+13+42+48)/5</f>
        <v>39.799999999999997</v>
      </c>
      <c r="O82" s="82">
        <f>(47+43+15+26+25)/5</f>
        <v>31.2</v>
      </c>
      <c r="P82" s="80">
        <f>(55+41+9+24+27)/5</f>
        <v>31.2</v>
      </c>
      <c r="Q82" s="81"/>
      <c r="R82" s="77">
        <v>4</v>
      </c>
      <c r="S82" s="81">
        <v>4</v>
      </c>
      <c r="T82" s="79">
        <v>6</v>
      </c>
      <c r="U82" s="84"/>
      <c r="W82" s="85">
        <f t="shared" si="11"/>
        <v>4.8543689320388349E-2</v>
      </c>
      <c r="X82" s="86">
        <f t="shared" si="9"/>
        <v>9.4339622641509441E-2</v>
      </c>
      <c r="Y82" s="87">
        <f t="shared" si="9"/>
        <v>0</v>
      </c>
      <c r="Z82" s="88">
        <f t="shared" si="10"/>
        <v>4.762777065396593E-2</v>
      </c>
      <c r="AA82" s="86">
        <f t="shared" si="12"/>
        <v>9.1324200913242018E-2</v>
      </c>
      <c r="AB82" s="89">
        <f t="shared" si="12"/>
        <v>0.11363636363636363</v>
      </c>
      <c r="AC82" s="86">
        <f t="shared" si="12"/>
        <v>0.16129032258064516</v>
      </c>
      <c r="AD82" s="90">
        <f t="shared" si="13"/>
        <v>0.12208362904341692</v>
      </c>
      <c r="AE82" s="91"/>
      <c r="AF82" s="92"/>
      <c r="AG82" s="91"/>
      <c r="AH82" s="92"/>
      <c r="AI82" s="91"/>
    </row>
    <row r="83" spans="1:53" s="65" customFormat="1">
      <c r="A83" s="1"/>
      <c r="B83" s="2">
        <v>4</v>
      </c>
      <c r="C83" s="17" t="s">
        <v>31</v>
      </c>
      <c r="D83" s="17" t="s">
        <v>32</v>
      </c>
      <c r="E83" s="17" t="s">
        <v>25</v>
      </c>
      <c r="F83" s="127" t="s">
        <v>42</v>
      </c>
      <c r="G83" s="128">
        <v>5</v>
      </c>
      <c r="H83" s="94">
        <v>13</v>
      </c>
      <c r="I83" s="95"/>
      <c r="J83" s="131" t="s">
        <v>43</v>
      </c>
      <c r="K83" s="132">
        <v>0</v>
      </c>
      <c r="L83" s="93">
        <v>0</v>
      </c>
      <c r="M83" s="95"/>
      <c r="N83" s="133" t="s">
        <v>42</v>
      </c>
      <c r="O83" s="96">
        <v>9</v>
      </c>
      <c r="P83" s="160" t="s">
        <v>42</v>
      </c>
      <c r="Q83" s="132"/>
      <c r="R83" s="134" t="s">
        <v>43</v>
      </c>
      <c r="S83" s="95">
        <v>0</v>
      </c>
      <c r="T83" s="128" t="s">
        <v>43</v>
      </c>
      <c r="U83" s="161" t="s">
        <v>34</v>
      </c>
      <c r="V83" s="65" t="s">
        <v>35</v>
      </c>
      <c r="W83" s="133" t="s">
        <v>43</v>
      </c>
      <c r="X83" s="62">
        <f t="shared" si="9"/>
        <v>0</v>
      </c>
      <c r="Y83" s="63">
        <f t="shared" si="9"/>
        <v>0</v>
      </c>
      <c r="Z83" s="64">
        <f t="shared" si="10"/>
        <v>0</v>
      </c>
      <c r="AA83" s="133" t="s">
        <v>43</v>
      </c>
      <c r="AB83" s="261">
        <f t="shared" si="12"/>
        <v>0</v>
      </c>
      <c r="AC83" s="181" t="s">
        <v>43</v>
      </c>
      <c r="AD83" s="66">
        <f t="shared" si="13"/>
        <v>0</v>
      </c>
      <c r="AE83" s="99">
        <v>1</v>
      </c>
      <c r="AF83" s="100">
        <v>0</v>
      </c>
      <c r="AG83" s="99">
        <v>0</v>
      </c>
      <c r="AH83" s="100">
        <v>0</v>
      </c>
      <c r="AI83" s="99">
        <v>0</v>
      </c>
    </row>
    <row r="84" spans="1:53" s="65" customFormat="1">
      <c r="A84" s="1"/>
      <c r="B84" s="2"/>
      <c r="C84" s="17"/>
      <c r="D84" s="17"/>
      <c r="E84" s="17" t="s">
        <v>28</v>
      </c>
      <c r="F84" s="127" t="s">
        <v>42</v>
      </c>
      <c r="G84" s="128">
        <v>7</v>
      </c>
      <c r="H84" s="94">
        <v>10</v>
      </c>
      <c r="I84" s="95"/>
      <c r="J84" s="131" t="s">
        <v>43</v>
      </c>
      <c r="K84" s="132">
        <v>1</v>
      </c>
      <c r="L84" s="93">
        <v>2</v>
      </c>
      <c r="M84" s="95"/>
      <c r="N84" s="133" t="s">
        <v>42</v>
      </c>
      <c r="O84" s="96">
        <v>6</v>
      </c>
      <c r="P84" s="160" t="s">
        <v>42</v>
      </c>
      <c r="Q84" s="132"/>
      <c r="R84" s="134" t="s">
        <v>43</v>
      </c>
      <c r="S84" s="95">
        <v>0</v>
      </c>
      <c r="T84" s="128" t="s">
        <v>43</v>
      </c>
      <c r="U84" s="161"/>
      <c r="W84" s="133" t="s">
        <v>43</v>
      </c>
      <c r="X84" s="62">
        <f t="shared" si="9"/>
        <v>0.125</v>
      </c>
      <c r="Y84" s="63">
        <f t="shared" si="9"/>
        <v>0.16666666666666666</v>
      </c>
      <c r="Z84" s="64">
        <f t="shared" si="10"/>
        <v>0.14583333333333331</v>
      </c>
      <c r="AA84" s="133" t="s">
        <v>43</v>
      </c>
      <c r="AB84" s="62">
        <f t="shared" si="12"/>
        <v>0</v>
      </c>
      <c r="AC84" s="134" t="s">
        <v>43</v>
      </c>
      <c r="AD84" s="66">
        <f t="shared" si="13"/>
        <v>0</v>
      </c>
      <c r="AE84" s="99"/>
      <c r="AF84" s="100"/>
      <c r="AG84" s="99"/>
      <c r="AH84" s="100"/>
      <c r="AI84" s="99"/>
    </row>
    <row r="85" spans="1:53" s="65" customFormat="1">
      <c r="A85" s="1"/>
      <c r="B85" s="2"/>
      <c r="C85" s="17"/>
      <c r="D85" s="17"/>
      <c r="E85" s="17" t="s">
        <v>29</v>
      </c>
      <c r="F85" s="127" t="s">
        <v>42</v>
      </c>
      <c r="G85" s="128">
        <v>9</v>
      </c>
      <c r="H85" s="94">
        <v>7</v>
      </c>
      <c r="I85" s="95"/>
      <c r="J85" s="131" t="s">
        <v>43</v>
      </c>
      <c r="K85" s="132">
        <v>0</v>
      </c>
      <c r="L85" s="93">
        <v>0</v>
      </c>
      <c r="M85" s="95"/>
      <c r="N85" s="133" t="s">
        <v>42</v>
      </c>
      <c r="O85" s="96">
        <v>7</v>
      </c>
      <c r="P85" s="160" t="s">
        <v>42</v>
      </c>
      <c r="Q85" s="132"/>
      <c r="R85" s="134" t="s">
        <v>43</v>
      </c>
      <c r="S85" s="95">
        <v>0</v>
      </c>
      <c r="T85" s="128" t="s">
        <v>43</v>
      </c>
      <c r="U85" s="161"/>
      <c r="W85" s="133" t="s">
        <v>43</v>
      </c>
      <c r="X85" s="62">
        <f t="shared" si="9"/>
        <v>0</v>
      </c>
      <c r="Y85" s="63">
        <f t="shared" si="9"/>
        <v>0</v>
      </c>
      <c r="Z85" s="64">
        <f t="shared" si="10"/>
        <v>0</v>
      </c>
      <c r="AA85" s="133" t="s">
        <v>43</v>
      </c>
      <c r="AB85" s="62">
        <f t="shared" si="12"/>
        <v>0</v>
      </c>
      <c r="AC85" s="134" t="s">
        <v>43</v>
      </c>
      <c r="AD85" s="66">
        <f t="shared" si="13"/>
        <v>0</v>
      </c>
      <c r="AE85" s="99"/>
      <c r="AF85" s="100"/>
      <c r="AG85" s="99"/>
      <c r="AH85" s="100"/>
      <c r="AI85" s="99"/>
    </row>
    <row r="86" spans="1:53" s="89" customFormat="1">
      <c r="A86" s="75"/>
      <c r="B86" s="76"/>
      <c r="C86" s="77"/>
      <c r="D86" s="77"/>
      <c r="E86" s="77" t="s">
        <v>30</v>
      </c>
      <c r="F86" s="140" t="s">
        <v>42</v>
      </c>
      <c r="G86" s="141">
        <v>9</v>
      </c>
      <c r="H86" s="102">
        <v>2</v>
      </c>
      <c r="I86" s="103"/>
      <c r="J86" s="144" t="s">
        <v>43</v>
      </c>
      <c r="K86" s="145">
        <v>0</v>
      </c>
      <c r="L86" s="101">
        <v>0</v>
      </c>
      <c r="M86" s="103"/>
      <c r="N86" s="146" t="s">
        <v>42</v>
      </c>
      <c r="O86" s="104">
        <v>15</v>
      </c>
      <c r="P86" s="162" t="s">
        <v>42</v>
      </c>
      <c r="Q86" s="145"/>
      <c r="R86" s="147" t="s">
        <v>43</v>
      </c>
      <c r="S86" s="103">
        <v>1</v>
      </c>
      <c r="T86" s="141" t="s">
        <v>43</v>
      </c>
      <c r="U86" s="163"/>
      <c r="W86" s="146" t="s">
        <v>43</v>
      </c>
      <c r="X86" s="86">
        <f t="shared" si="9"/>
        <v>0</v>
      </c>
      <c r="Y86" s="87">
        <f t="shared" si="9"/>
        <v>0</v>
      </c>
      <c r="Z86" s="88">
        <f t="shared" si="10"/>
        <v>0</v>
      </c>
      <c r="AA86" s="146" t="s">
        <v>43</v>
      </c>
      <c r="AB86" s="86">
        <f t="shared" si="12"/>
        <v>6.25E-2</v>
      </c>
      <c r="AC86" s="147" t="s">
        <v>43</v>
      </c>
      <c r="AD86" s="90">
        <f t="shared" si="13"/>
        <v>6.25E-2</v>
      </c>
      <c r="AE86" s="107"/>
      <c r="AF86" s="108"/>
      <c r="AG86" s="107"/>
      <c r="AH86" s="108"/>
      <c r="AI86" s="107"/>
    </row>
    <row r="87" spans="1:53" s="4" customFormat="1">
      <c r="A87" s="1"/>
      <c r="B87" s="2">
        <v>5</v>
      </c>
      <c r="C87" s="17" t="s">
        <v>23</v>
      </c>
      <c r="D87" s="126" t="s">
        <v>24</v>
      </c>
      <c r="E87" s="17" t="s">
        <v>25</v>
      </c>
      <c r="F87" s="4">
        <f>(40+23)/2</f>
        <v>31.5</v>
      </c>
      <c r="G87" s="69">
        <f>(36+20)/2</f>
        <v>28</v>
      </c>
      <c r="H87" s="70">
        <f>(46+26)/2</f>
        <v>36</v>
      </c>
      <c r="I87" s="5"/>
      <c r="J87" s="71">
        <v>0</v>
      </c>
      <c r="K87" s="5">
        <v>1</v>
      </c>
      <c r="L87" s="69">
        <v>0</v>
      </c>
      <c r="M87" s="5"/>
      <c r="N87" s="72">
        <f>(32+19)/2</f>
        <v>25.5</v>
      </c>
      <c r="O87" s="71">
        <f>(32+19)/2</f>
        <v>25.5</v>
      </c>
      <c r="P87" s="70">
        <f>(47+28)/2</f>
        <v>37.5</v>
      </c>
      <c r="Q87" s="5"/>
      <c r="R87" s="262">
        <v>0</v>
      </c>
      <c r="S87" s="5">
        <v>1</v>
      </c>
      <c r="T87" s="69">
        <v>1</v>
      </c>
      <c r="U87" s="73" t="s">
        <v>34</v>
      </c>
      <c r="V87" s="4" t="s">
        <v>35</v>
      </c>
      <c r="W87" s="61">
        <f t="shared" si="11"/>
        <v>0</v>
      </c>
      <c r="X87" s="62">
        <f t="shared" si="9"/>
        <v>3.4482758620689655E-2</v>
      </c>
      <c r="Y87" s="63">
        <f t="shared" si="9"/>
        <v>0</v>
      </c>
      <c r="Z87" s="64">
        <f t="shared" si="10"/>
        <v>1.1494252873563218E-2</v>
      </c>
      <c r="AA87" s="62">
        <f t="shared" si="12"/>
        <v>0</v>
      </c>
      <c r="AB87" s="65">
        <f t="shared" si="12"/>
        <v>3.7735849056603772E-2</v>
      </c>
      <c r="AC87" s="62">
        <f t="shared" si="12"/>
        <v>2.5974025974025976E-2</v>
      </c>
      <c r="AD87" s="66">
        <f t="shared" si="13"/>
        <v>2.1236625010209915E-2</v>
      </c>
      <c r="AE87" s="74">
        <v>1</v>
      </c>
      <c r="AF87" s="14">
        <v>0</v>
      </c>
      <c r="AG87" s="74">
        <v>0</v>
      </c>
      <c r="AH87" s="14">
        <v>1</v>
      </c>
      <c r="AI87" s="74">
        <v>0</v>
      </c>
    </row>
    <row r="88" spans="1:53" s="4" customFormat="1">
      <c r="A88" s="1"/>
      <c r="B88" s="2"/>
      <c r="C88" s="17"/>
      <c r="D88" s="17"/>
      <c r="E88" s="17" t="s">
        <v>28</v>
      </c>
      <c r="F88" s="4">
        <f>(43+27)/2</f>
        <v>35</v>
      </c>
      <c r="G88" s="69">
        <f>(26+14)/2</f>
        <v>20</v>
      </c>
      <c r="H88" s="70">
        <f>(48+19)/2</f>
        <v>33.5</v>
      </c>
      <c r="I88" s="5"/>
      <c r="J88" s="71">
        <v>0</v>
      </c>
      <c r="K88" s="5">
        <v>0</v>
      </c>
      <c r="L88" s="69">
        <v>1</v>
      </c>
      <c r="M88" s="5"/>
      <c r="N88" s="72">
        <f>(21+16)/2</f>
        <v>18.5</v>
      </c>
      <c r="O88" s="71">
        <f>(20+15)/2</f>
        <v>17.5</v>
      </c>
      <c r="P88" s="70">
        <f>(17+21)/2</f>
        <v>19</v>
      </c>
      <c r="Q88" s="5"/>
      <c r="R88" s="262">
        <v>1</v>
      </c>
      <c r="S88" s="5">
        <v>0</v>
      </c>
      <c r="T88" s="69">
        <v>0</v>
      </c>
      <c r="U88" s="73"/>
      <c r="W88" s="61">
        <f t="shared" si="11"/>
        <v>0</v>
      </c>
      <c r="X88" s="62">
        <f t="shared" si="9"/>
        <v>0</v>
      </c>
      <c r="Y88" s="63">
        <f t="shared" si="9"/>
        <v>2.8985507246376812E-2</v>
      </c>
      <c r="Z88" s="64">
        <f t="shared" si="10"/>
        <v>9.6618357487922701E-3</v>
      </c>
      <c r="AA88" s="62">
        <f t="shared" si="12"/>
        <v>5.128205128205128E-2</v>
      </c>
      <c r="AB88" s="65">
        <f t="shared" si="12"/>
        <v>0</v>
      </c>
      <c r="AC88" s="62">
        <f t="shared" si="12"/>
        <v>0</v>
      </c>
      <c r="AD88" s="66">
        <f t="shared" si="13"/>
        <v>1.7094017094017092E-2</v>
      </c>
      <c r="AE88" s="74"/>
      <c r="AF88" s="14"/>
      <c r="AG88" s="74"/>
      <c r="AH88" s="14"/>
      <c r="AI88" s="74"/>
    </row>
    <row r="89" spans="1:53" s="4" customFormat="1">
      <c r="A89" s="1"/>
      <c r="B89" s="2"/>
      <c r="C89" s="17"/>
      <c r="D89" s="17"/>
      <c r="E89" s="17" t="s">
        <v>29</v>
      </c>
      <c r="F89" s="4">
        <f>(15+13)/2</f>
        <v>14</v>
      </c>
      <c r="G89" s="69">
        <f>(23+14)/2</f>
        <v>18.5</v>
      </c>
      <c r="H89" s="70">
        <f>(22+17)/2</f>
        <v>19.5</v>
      </c>
      <c r="I89" s="5"/>
      <c r="J89" s="71">
        <v>1</v>
      </c>
      <c r="K89" s="5">
        <v>0</v>
      </c>
      <c r="L89" s="69">
        <v>1</v>
      </c>
      <c r="M89" s="5"/>
      <c r="N89" s="72">
        <f>(53+29)/2</f>
        <v>41</v>
      </c>
      <c r="O89" s="71">
        <f>(40+36)/2</f>
        <v>38</v>
      </c>
      <c r="P89" s="70">
        <f>(49+20)/2</f>
        <v>34.5</v>
      </c>
      <c r="Q89" s="5"/>
      <c r="R89" s="262">
        <v>0</v>
      </c>
      <c r="S89" s="5">
        <v>0</v>
      </c>
      <c r="T89" s="69">
        <v>0</v>
      </c>
      <c r="U89" s="73"/>
      <c r="W89" s="61">
        <f t="shared" si="11"/>
        <v>6.6666666666666666E-2</v>
      </c>
      <c r="X89" s="62">
        <f t="shared" si="9"/>
        <v>0</v>
      </c>
      <c r="Y89" s="63">
        <f t="shared" si="9"/>
        <v>4.878048780487805E-2</v>
      </c>
      <c r="Z89" s="64">
        <f t="shared" si="10"/>
        <v>3.8482384823848241E-2</v>
      </c>
      <c r="AA89" s="62">
        <f t="shared" si="12"/>
        <v>0</v>
      </c>
      <c r="AB89" s="65">
        <f t="shared" si="12"/>
        <v>0</v>
      </c>
      <c r="AC89" s="62">
        <f t="shared" si="12"/>
        <v>0</v>
      </c>
      <c r="AD89" s="66">
        <f t="shared" si="13"/>
        <v>0</v>
      </c>
      <c r="AE89" s="74"/>
      <c r="AF89" s="14"/>
      <c r="AG89" s="74"/>
      <c r="AH89" s="14"/>
      <c r="AI89" s="74"/>
    </row>
    <row r="90" spans="1:53" s="78" customFormat="1">
      <c r="A90" s="75"/>
      <c r="B90" s="76"/>
      <c r="C90" s="77"/>
      <c r="D90" s="77"/>
      <c r="E90" s="77" t="s">
        <v>30</v>
      </c>
      <c r="F90" s="78">
        <f>(16+19)/2</f>
        <v>17.5</v>
      </c>
      <c r="G90" s="79">
        <f>(17+18)/2</f>
        <v>17.5</v>
      </c>
      <c r="H90" s="80">
        <f>(16+10)/2</f>
        <v>13</v>
      </c>
      <c r="I90" s="81"/>
      <c r="J90" s="82">
        <v>0</v>
      </c>
      <c r="K90" s="81">
        <v>1</v>
      </c>
      <c r="L90" s="79">
        <v>0</v>
      </c>
      <c r="M90" s="81"/>
      <c r="N90" s="83">
        <f>(42+48)/2</f>
        <v>45</v>
      </c>
      <c r="O90" s="82">
        <f>(26+25)/2</f>
        <v>25.5</v>
      </c>
      <c r="P90" s="80">
        <f>(24+27)/2</f>
        <v>25.5</v>
      </c>
      <c r="Q90" s="81"/>
      <c r="R90" s="263">
        <v>3</v>
      </c>
      <c r="S90" s="81">
        <v>3</v>
      </c>
      <c r="T90" s="79">
        <v>0</v>
      </c>
      <c r="U90" s="84"/>
      <c r="W90" s="85">
        <f t="shared" si="11"/>
        <v>0</v>
      </c>
      <c r="X90" s="86">
        <f t="shared" si="9"/>
        <v>5.4054054054054057E-2</v>
      </c>
      <c r="Y90" s="87">
        <f t="shared" si="9"/>
        <v>0</v>
      </c>
      <c r="Z90" s="88">
        <f t="shared" si="10"/>
        <v>1.8018018018018018E-2</v>
      </c>
      <c r="AA90" s="86">
        <f t="shared" si="12"/>
        <v>6.25E-2</v>
      </c>
      <c r="AB90" s="89">
        <f t="shared" si="12"/>
        <v>0.10526315789473684</v>
      </c>
      <c r="AC90" s="86">
        <f t="shared" si="12"/>
        <v>0</v>
      </c>
      <c r="AD90" s="90">
        <f t="shared" si="13"/>
        <v>5.5921052631578948E-2</v>
      </c>
      <c r="AE90" s="91"/>
      <c r="AF90" s="92"/>
      <c r="AG90" s="91"/>
      <c r="AH90" s="92"/>
      <c r="AI90" s="91"/>
    </row>
    <row r="91" spans="1:53" s="199" customFormat="1" ht="47.25">
      <c r="A91" s="182" t="s">
        <v>60</v>
      </c>
      <c r="B91" s="264">
        <v>4</v>
      </c>
      <c r="C91" s="17" t="s">
        <v>23</v>
      </c>
      <c r="D91" s="126" t="s">
        <v>24</v>
      </c>
      <c r="E91" s="17" t="s">
        <v>54</v>
      </c>
      <c r="G91" s="188"/>
      <c r="I91" s="188"/>
      <c r="J91" s="192"/>
      <c r="K91" s="188"/>
      <c r="L91" s="188"/>
      <c r="M91" s="195"/>
      <c r="N91" s="265"/>
      <c r="O91" s="195"/>
      <c r="P91" s="186"/>
      <c r="Q91" s="187"/>
      <c r="R91" s="188"/>
      <c r="S91" s="188"/>
      <c r="T91" s="266"/>
      <c r="U91" s="194" t="s">
        <v>34</v>
      </c>
      <c r="V91" s="195"/>
      <c r="W91" s="267"/>
      <c r="X91" s="268"/>
      <c r="Y91" s="269"/>
      <c r="Z91" s="270"/>
      <c r="AA91" s="268"/>
      <c r="AB91" s="271"/>
      <c r="AC91" s="268"/>
      <c r="AD91" s="272"/>
      <c r="AE91" s="201">
        <v>0</v>
      </c>
      <c r="AF91" s="202">
        <v>0</v>
      </c>
      <c r="AG91" s="203">
        <v>1</v>
      </c>
      <c r="AH91" s="204">
        <v>0</v>
      </c>
      <c r="AI91" s="273">
        <v>1</v>
      </c>
      <c r="AJ91" s="193"/>
      <c r="AK91" s="186"/>
      <c r="AL91" s="187"/>
      <c r="AM91" s="188"/>
      <c r="AN91" s="188"/>
      <c r="AO91" s="266"/>
      <c r="AP91" s="195"/>
      <c r="AQ91" s="193"/>
      <c r="AR91" s="208"/>
      <c r="AS91" s="274"/>
      <c r="AT91" s="188"/>
      <c r="AU91" s="188"/>
      <c r="BA91" s="209"/>
    </row>
    <row r="92" spans="1:53" s="229" customFormat="1" ht="16.5" thickBot="1">
      <c r="A92" s="109"/>
      <c r="B92" s="110">
        <v>18</v>
      </c>
      <c r="C92" s="111" t="s">
        <v>23</v>
      </c>
      <c r="D92" s="213" t="s">
        <v>24</v>
      </c>
      <c r="E92" s="111" t="s">
        <v>51</v>
      </c>
      <c r="G92" s="218"/>
      <c r="I92" s="218"/>
      <c r="J92" s="222"/>
      <c r="K92" s="218"/>
      <c r="L92" s="218"/>
      <c r="M92" s="225"/>
      <c r="N92" s="275"/>
      <c r="O92" s="225"/>
      <c r="P92" s="216"/>
      <c r="Q92" s="217"/>
      <c r="R92" s="218"/>
      <c r="S92" s="218"/>
      <c r="T92" s="276"/>
      <c r="U92" s="224" t="s">
        <v>34</v>
      </c>
      <c r="V92" s="225"/>
      <c r="W92" s="226"/>
      <c r="X92" s="221"/>
      <c r="Y92" s="227"/>
      <c r="Z92" s="277"/>
      <c r="AA92" s="278"/>
      <c r="AB92" s="279"/>
      <c r="AC92" s="278"/>
      <c r="AD92" s="280"/>
      <c r="AE92" s="230">
        <v>0</v>
      </c>
      <c r="AF92" s="231">
        <v>1</v>
      </c>
      <c r="AG92" s="232">
        <v>0</v>
      </c>
      <c r="AH92" s="233">
        <v>0</v>
      </c>
      <c r="AI92" s="281">
        <v>1</v>
      </c>
      <c r="AJ92" s="223"/>
      <c r="AK92" s="216"/>
      <c r="AL92" s="217"/>
      <c r="AM92" s="218"/>
      <c r="AN92" s="218"/>
      <c r="AO92" s="276"/>
      <c r="AP92" s="225"/>
      <c r="AQ92" s="223"/>
      <c r="AR92" s="237"/>
      <c r="AS92" s="282"/>
      <c r="AT92" s="218"/>
      <c r="AU92" s="218"/>
      <c r="BA92" s="238"/>
    </row>
    <row r="93" spans="1:53" s="4" customFormat="1" ht="16.5" thickTop="1">
      <c r="A93" s="1" t="s">
        <v>61</v>
      </c>
      <c r="B93" s="2">
        <v>1</v>
      </c>
      <c r="C93" s="17" t="s">
        <v>36</v>
      </c>
      <c r="D93" s="17" t="s">
        <v>37</v>
      </c>
      <c r="E93" s="17" t="s">
        <v>25</v>
      </c>
      <c r="F93" s="4">
        <v>28</v>
      </c>
      <c r="G93" s="168" t="s">
        <v>42</v>
      </c>
      <c r="H93" s="70">
        <v>43</v>
      </c>
      <c r="I93" s="5"/>
      <c r="J93" s="71">
        <v>0</v>
      </c>
      <c r="K93" s="166" t="s">
        <v>43</v>
      </c>
      <c r="L93" s="69">
        <v>1</v>
      </c>
      <c r="M93" s="5"/>
      <c r="N93" s="3">
        <v>33</v>
      </c>
      <c r="O93" s="71">
        <v>34</v>
      </c>
      <c r="P93" s="165" t="s">
        <v>42</v>
      </c>
      <c r="Q93" s="155"/>
      <c r="R93" s="17">
        <v>0</v>
      </c>
      <c r="S93" s="5">
        <v>0</v>
      </c>
      <c r="T93" s="168" t="s">
        <v>43</v>
      </c>
      <c r="U93" s="169" t="s">
        <v>34</v>
      </c>
      <c r="V93" s="4" t="s">
        <v>35</v>
      </c>
      <c r="W93" s="61">
        <f t="shared" si="11"/>
        <v>0</v>
      </c>
      <c r="X93" s="134" t="s">
        <v>43</v>
      </c>
      <c r="Y93" s="63">
        <f t="shared" si="9"/>
        <v>2.2727272727272728E-2</v>
      </c>
      <c r="Z93" s="64">
        <f t="shared" si="10"/>
        <v>1.1363636363636364E-2</v>
      </c>
      <c r="AA93" s="62">
        <f t="shared" si="12"/>
        <v>0</v>
      </c>
      <c r="AB93" s="65">
        <f t="shared" si="12"/>
        <v>0</v>
      </c>
      <c r="AC93" s="134" t="s">
        <v>43</v>
      </c>
      <c r="AD93" s="66">
        <f t="shared" si="13"/>
        <v>0</v>
      </c>
      <c r="AE93" s="74">
        <v>1</v>
      </c>
      <c r="AF93" s="14">
        <v>0</v>
      </c>
      <c r="AG93" s="74">
        <v>0</v>
      </c>
      <c r="AH93" s="14">
        <v>0</v>
      </c>
      <c r="AI93" s="74">
        <v>0</v>
      </c>
    </row>
    <row r="94" spans="1:53" s="4" customFormat="1">
      <c r="A94" s="1"/>
      <c r="B94" s="2"/>
      <c r="C94" s="17"/>
      <c r="D94" s="17"/>
      <c r="E94" s="17" t="s">
        <v>28</v>
      </c>
      <c r="F94" s="4">
        <v>40</v>
      </c>
      <c r="G94" s="168" t="s">
        <v>42</v>
      </c>
      <c r="H94" s="70">
        <v>42</v>
      </c>
      <c r="I94" s="5"/>
      <c r="J94" s="71">
        <v>0</v>
      </c>
      <c r="K94" s="166" t="s">
        <v>43</v>
      </c>
      <c r="L94" s="69">
        <v>0</v>
      </c>
      <c r="M94" s="5"/>
      <c r="N94" s="3">
        <v>46</v>
      </c>
      <c r="O94" s="71">
        <v>73</v>
      </c>
      <c r="P94" s="165" t="s">
        <v>42</v>
      </c>
      <c r="Q94" s="155"/>
      <c r="R94" s="17">
        <v>1</v>
      </c>
      <c r="S94" s="5">
        <v>0</v>
      </c>
      <c r="T94" s="168" t="s">
        <v>43</v>
      </c>
      <c r="U94" s="169"/>
      <c r="W94" s="61">
        <f t="shared" si="11"/>
        <v>0</v>
      </c>
      <c r="X94" s="134" t="s">
        <v>43</v>
      </c>
      <c r="Y94" s="63">
        <f t="shared" si="9"/>
        <v>0</v>
      </c>
      <c r="Z94" s="64">
        <f t="shared" si="10"/>
        <v>0</v>
      </c>
      <c r="AA94" s="62">
        <f t="shared" si="12"/>
        <v>2.1276595744680851E-2</v>
      </c>
      <c r="AB94" s="65">
        <f t="shared" si="12"/>
        <v>0</v>
      </c>
      <c r="AC94" s="134" t="s">
        <v>43</v>
      </c>
      <c r="AD94" s="66">
        <f t="shared" si="13"/>
        <v>1.0638297872340425E-2</v>
      </c>
      <c r="AE94" s="74"/>
      <c r="AF94" s="14"/>
      <c r="AG94" s="74"/>
      <c r="AH94" s="14"/>
      <c r="AI94" s="74"/>
    </row>
    <row r="95" spans="1:53" s="4" customFormat="1">
      <c r="A95" s="1"/>
      <c r="B95" s="2"/>
      <c r="C95" s="17"/>
      <c r="D95" s="17"/>
      <c r="E95" s="17" t="s">
        <v>29</v>
      </c>
      <c r="F95" s="4">
        <v>84</v>
      </c>
      <c r="G95" s="168" t="s">
        <v>42</v>
      </c>
      <c r="H95" s="70">
        <v>62</v>
      </c>
      <c r="I95" s="5"/>
      <c r="J95" s="71">
        <v>1</v>
      </c>
      <c r="K95" s="166" t="s">
        <v>43</v>
      </c>
      <c r="L95" s="69">
        <v>0</v>
      </c>
      <c r="M95" s="5"/>
      <c r="N95" s="3">
        <v>70</v>
      </c>
      <c r="O95" s="71">
        <v>54</v>
      </c>
      <c r="P95" s="165" t="s">
        <v>42</v>
      </c>
      <c r="Q95" s="155"/>
      <c r="R95" s="17">
        <v>0</v>
      </c>
      <c r="S95" s="5">
        <v>1</v>
      </c>
      <c r="T95" s="168" t="s">
        <v>43</v>
      </c>
      <c r="U95" s="169"/>
      <c r="W95" s="61">
        <f t="shared" si="11"/>
        <v>1.1764705882352941E-2</v>
      </c>
      <c r="X95" s="134" t="s">
        <v>43</v>
      </c>
      <c r="Y95" s="63">
        <f t="shared" si="9"/>
        <v>0</v>
      </c>
      <c r="Z95" s="64">
        <f t="shared" si="10"/>
        <v>5.8823529411764705E-3</v>
      </c>
      <c r="AA95" s="62">
        <f t="shared" si="12"/>
        <v>0</v>
      </c>
      <c r="AB95" s="65">
        <f t="shared" si="12"/>
        <v>1.8181818181818181E-2</v>
      </c>
      <c r="AC95" s="134" t="s">
        <v>43</v>
      </c>
      <c r="AD95" s="66">
        <f t="shared" si="13"/>
        <v>9.0909090909090905E-3</v>
      </c>
      <c r="AE95" s="74"/>
      <c r="AF95" s="14"/>
      <c r="AG95" s="74"/>
      <c r="AH95" s="14"/>
      <c r="AI95" s="74"/>
    </row>
    <row r="96" spans="1:53" s="78" customFormat="1">
      <c r="A96" s="75"/>
      <c r="B96" s="76"/>
      <c r="C96" s="77"/>
      <c r="D96" s="77"/>
      <c r="E96" s="77" t="s">
        <v>30</v>
      </c>
      <c r="F96" s="78">
        <v>1</v>
      </c>
      <c r="G96" s="174" t="s">
        <v>42</v>
      </c>
      <c r="H96" s="80">
        <v>45</v>
      </c>
      <c r="I96" s="81"/>
      <c r="J96" s="82">
        <v>1</v>
      </c>
      <c r="K96" s="172" t="s">
        <v>43</v>
      </c>
      <c r="L96" s="79">
        <v>0</v>
      </c>
      <c r="M96" s="81"/>
      <c r="N96" s="124">
        <v>120</v>
      </c>
      <c r="O96" s="82">
        <v>71</v>
      </c>
      <c r="P96" s="171" t="s">
        <v>42</v>
      </c>
      <c r="Q96" s="159"/>
      <c r="R96" s="77">
        <v>0</v>
      </c>
      <c r="S96" s="81">
        <v>0</v>
      </c>
      <c r="T96" s="174" t="s">
        <v>43</v>
      </c>
      <c r="U96" s="175"/>
      <c r="W96" s="85">
        <f t="shared" si="11"/>
        <v>0.5</v>
      </c>
      <c r="X96" s="147" t="s">
        <v>43</v>
      </c>
      <c r="Y96" s="87">
        <f t="shared" si="9"/>
        <v>0</v>
      </c>
      <c r="Z96" s="283">
        <f t="shared" si="10"/>
        <v>0.25</v>
      </c>
      <c r="AA96" s="86">
        <f t="shared" si="12"/>
        <v>0</v>
      </c>
      <c r="AB96" s="89">
        <f t="shared" si="12"/>
        <v>0</v>
      </c>
      <c r="AC96" s="147" t="s">
        <v>43</v>
      </c>
      <c r="AD96" s="284">
        <f t="shared" si="13"/>
        <v>0</v>
      </c>
      <c r="AE96" s="91"/>
      <c r="AF96" s="92"/>
      <c r="AG96" s="91"/>
      <c r="AH96" s="92"/>
      <c r="AI96" s="91"/>
    </row>
    <row r="97" spans="1:35" s="65" customFormat="1">
      <c r="A97" s="1"/>
      <c r="B97" s="2">
        <v>2</v>
      </c>
      <c r="C97" s="17" t="s">
        <v>23</v>
      </c>
      <c r="D97" s="126" t="s">
        <v>24</v>
      </c>
      <c r="E97" s="17" t="s">
        <v>25</v>
      </c>
      <c r="F97" s="65">
        <f>(24+28)/2</f>
        <v>26</v>
      </c>
      <c r="G97" s="93">
        <f>(30+37)/2</f>
        <v>33.5</v>
      </c>
      <c r="H97" s="94">
        <f>(45+43)/2</f>
        <v>44</v>
      </c>
      <c r="I97" s="95"/>
      <c r="J97" s="96">
        <v>1</v>
      </c>
      <c r="K97" s="95">
        <v>2</v>
      </c>
      <c r="L97" s="93">
        <v>1</v>
      </c>
      <c r="M97" s="95"/>
      <c r="N97" s="61">
        <f>(22+33)/2</f>
        <v>27.5</v>
      </c>
      <c r="O97" s="96">
        <f>(25+34)/2</f>
        <v>29.5</v>
      </c>
      <c r="P97" s="94">
        <f>(46+62)/2</f>
        <v>54</v>
      </c>
      <c r="Q97" s="95"/>
      <c r="R97" s="62">
        <v>1</v>
      </c>
      <c r="S97" s="95">
        <v>0</v>
      </c>
      <c r="T97" s="93">
        <v>3</v>
      </c>
      <c r="U97" s="98" t="s">
        <v>34</v>
      </c>
      <c r="V97" s="4" t="s">
        <v>35</v>
      </c>
      <c r="W97" s="61">
        <f t="shared" si="11"/>
        <v>3.7037037037037035E-2</v>
      </c>
      <c r="X97" s="62">
        <f t="shared" si="9"/>
        <v>5.6338028169014086E-2</v>
      </c>
      <c r="Y97" s="63">
        <f t="shared" si="9"/>
        <v>2.2222222222222223E-2</v>
      </c>
      <c r="Z97" s="64">
        <f t="shared" si="10"/>
        <v>3.8532429142757785E-2</v>
      </c>
      <c r="AA97" s="62">
        <f t="shared" si="12"/>
        <v>3.5087719298245612E-2</v>
      </c>
      <c r="AB97" s="65">
        <f t="shared" si="12"/>
        <v>0</v>
      </c>
      <c r="AC97" s="62">
        <f t="shared" si="12"/>
        <v>5.2631578947368418E-2</v>
      </c>
      <c r="AD97" s="66">
        <f t="shared" si="13"/>
        <v>2.9239766081871343E-2</v>
      </c>
      <c r="AE97" s="99">
        <v>1</v>
      </c>
      <c r="AF97" s="100">
        <v>0</v>
      </c>
      <c r="AG97" s="99">
        <v>0</v>
      </c>
      <c r="AH97" s="100">
        <v>1</v>
      </c>
      <c r="AI97" s="99">
        <v>0</v>
      </c>
    </row>
    <row r="98" spans="1:35" s="65" customFormat="1">
      <c r="A98" s="1"/>
      <c r="B98" s="2"/>
      <c r="C98" s="17"/>
      <c r="D98" s="17"/>
      <c r="E98" s="17" t="s">
        <v>28</v>
      </c>
      <c r="F98" s="65">
        <f>(26+40)/2</f>
        <v>33</v>
      </c>
      <c r="G98" s="93">
        <f>(27+36)/2</f>
        <v>31.5</v>
      </c>
      <c r="H98" s="94">
        <f>(25+42)/2</f>
        <v>33.5</v>
      </c>
      <c r="I98" s="95"/>
      <c r="J98" s="96">
        <v>4</v>
      </c>
      <c r="K98" s="95">
        <v>0</v>
      </c>
      <c r="L98" s="93">
        <v>2</v>
      </c>
      <c r="M98" s="95"/>
      <c r="N98" s="61">
        <f>(1+22)/2</f>
        <v>11.5</v>
      </c>
      <c r="O98" s="96">
        <f>(23+73)/2</f>
        <v>48</v>
      </c>
      <c r="P98" s="94">
        <f>(21+62)/2</f>
        <v>41.5</v>
      </c>
      <c r="Q98" s="95"/>
      <c r="R98" s="62">
        <v>0</v>
      </c>
      <c r="S98" s="95">
        <v>0</v>
      </c>
      <c r="T98" s="93">
        <v>1</v>
      </c>
      <c r="U98" s="98"/>
      <c r="W98" s="61">
        <f t="shared" si="11"/>
        <v>0.10810810810810811</v>
      </c>
      <c r="X98" s="62">
        <f t="shared" si="9"/>
        <v>0</v>
      </c>
      <c r="Y98" s="63">
        <f t="shared" si="9"/>
        <v>5.6338028169014086E-2</v>
      </c>
      <c r="Z98" s="64">
        <f t="shared" si="10"/>
        <v>5.4815378759040738E-2</v>
      </c>
      <c r="AA98" s="62">
        <f t="shared" si="12"/>
        <v>0</v>
      </c>
      <c r="AB98" s="65">
        <f t="shared" si="12"/>
        <v>0</v>
      </c>
      <c r="AC98" s="62">
        <f t="shared" si="12"/>
        <v>2.3529411764705882E-2</v>
      </c>
      <c r="AD98" s="66">
        <f t="shared" si="13"/>
        <v>7.8431372549019607E-3</v>
      </c>
      <c r="AE98" s="99"/>
      <c r="AF98" s="100"/>
      <c r="AG98" s="99"/>
      <c r="AH98" s="100"/>
      <c r="AI98" s="99"/>
    </row>
    <row r="99" spans="1:35" s="65" customFormat="1">
      <c r="A99" s="1"/>
      <c r="B99" s="2"/>
      <c r="C99" s="17"/>
      <c r="D99" s="17"/>
      <c r="E99" s="17" t="s">
        <v>29</v>
      </c>
      <c r="F99" s="65">
        <f>(17+84)/2</f>
        <v>50.5</v>
      </c>
      <c r="G99" s="93">
        <f>(29+81)/2</f>
        <v>55</v>
      </c>
      <c r="H99" s="94">
        <f>(33+62)/2</f>
        <v>47.5</v>
      </c>
      <c r="I99" s="95"/>
      <c r="J99" s="96">
        <v>3</v>
      </c>
      <c r="K99" s="95">
        <v>3</v>
      </c>
      <c r="L99" s="93">
        <v>1</v>
      </c>
      <c r="M99" s="95"/>
      <c r="N99" s="61">
        <f>(40+70)/2</f>
        <v>55</v>
      </c>
      <c r="O99" s="96">
        <f>(55+54)/2</f>
        <v>54.5</v>
      </c>
      <c r="P99" s="94">
        <f>(31+30)/2</f>
        <v>30.5</v>
      </c>
      <c r="Q99" s="95"/>
      <c r="R99" s="62">
        <v>1</v>
      </c>
      <c r="S99" s="95">
        <v>1</v>
      </c>
      <c r="T99" s="93">
        <v>0</v>
      </c>
      <c r="U99" s="98"/>
      <c r="W99" s="61">
        <f t="shared" si="11"/>
        <v>5.6074766355140186E-2</v>
      </c>
      <c r="X99" s="62">
        <f t="shared" si="9"/>
        <v>5.1724137931034482E-2</v>
      </c>
      <c r="Y99" s="63">
        <f t="shared" si="9"/>
        <v>2.0618556701030927E-2</v>
      </c>
      <c r="Z99" s="64">
        <f t="shared" si="10"/>
        <v>4.2805820329068538E-2</v>
      </c>
      <c r="AA99" s="62">
        <f t="shared" si="12"/>
        <v>1.7857142857142856E-2</v>
      </c>
      <c r="AB99" s="65">
        <f t="shared" si="12"/>
        <v>1.8018018018018018E-2</v>
      </c>
      <c r="AC99" s="62">
        <f t="shared" si="12"/>
        <v>0</v>
      </c>
      <c r="AD99" s="66">
        <f t="shared" si="13"/>
        <v>1.195838695838696E-2</v>
      </c>
      <c r="AE99" s="99"/>
      <c r="AF99" s="100"/>
      <c r="AG99" s="99"/>
      <c r="AH99" s="100"/>
      <c r="AI99" s="99"/>
    </row>
    <row r="100" spans="1:35" s="89" customFormat="1">
      <c r="A100" s="75"/>
      <c r="B100" s="76"/>
      <c r="C100" s="77"/>
      <c r="D100" s="77"/>
      <c r="E100" s="77" t="s">
        <v>30</v>
      </c>
      <c r="F100" s="89">
        <f>(32+1)/2</f>
        <v>16.5</v>
      </c>
      <c r="G100" s="101">
        <f>(28+85)/2</f>
        <v>56.5</v>
      </c>
      <c r="H100" s="102">
        <f>(25+45)/2</f>
        <v>35</v>
      </c>
      <c r="I100" s="103"/>
      <c r="J100" s="104">
        <v>0</v>
      </c>
      <c r="K100" s="103">
        <v>2</v>
      </c>
      <c r="L100" s="101">
        <v>1</v>
      </c>
      <c r="M100" s="103"/>
      <c r="N100" s="85">
        <f>(45+120)/2</f>
        <v>82.5</v>
      </c>
      <c r="O100" s="104">
        <f>(27+71)/2</f>
        <v>49</v>
      </c>
      <c r="P100" s="102">
        <f>(27+57)/2</f>
        <v>42</v>
      </c>
      <c r="Q100" s="103"/>
      <c r="R100" s="86">
        <v>0</v>
      </c>
      <c r="S100" s="103">
        <v>1</v>
      </c>
      <c r="T100" s="101">
        <v>1</v>
      </c>
      <c r="U100" s="106"/>
      <c r="W100" s="85">
        <f t="shared" si="11"/>
        <v>0</v>
      </c>
      <c r="X100" s="86">
        <f t="shared" si="9"/>
        <v>3.4188034188034191E-2</v>
      </c>
      <c r="Y100" s="87">
        <f t="shared" si="9"/>
        <v>2.7777777777777776E-2</v>
      </c>
      <c r="Z100" s="283">
        <f t="shared" si="10"/>
        <v>2.0655270655270657E-2</v>
      </c>
      <c r="AA100" s="86">
        <f t="shared" si="12"/>
        <v>0</v>
      </c>
      <c r="AB100" s="89">
        <f t="shared" si="12"/>
        <v>0.02</v>
      </c>
      <c r="AC100" s="86">
        <f t="shared" si="12"/>
        <v>2.3255813953488372E-2</v>
      </c>
      <c r="AD100" s="284">
        <f t="shared" si="13"/>
        <v>1.4418604651162792E-2</v>
      </c>
      <c r="AE100" s="107"/>
      <c r="AF100" s="108"/>
      <c r="AG100" s="107"/>
      <c r="AH100" s="108"/>
      <c r="AI100" s="107"/>
    </row>
    <row r="101" spans="1:35" s="4" customFormat="1">
      <c r="A101" s="1"/>
      <c r="B101" s="2">
        <v>4</v>
      </c>
      <c r="C101" s="17" t="s">
        <v>23</v>
      </c>
      <c r="D101" s="126" t="s">
        <v>24</v>
      </c>
      <c r="E101" s="17" t="s">
        <v>25</v>
      </c>
      <c r="F101" s="4">
        <f>(82+39)/2</f>
        <v>60.5</v>
      </c>
      <c r="G101" s="69">
        <f>(73+30)/2</f>
        <v>51.5</v>
      </c>
      <c r="H101" s="70">
        <f>(112+35)/2</f>
        <v>73.5</v>
      </c>
      <c r="I101" s="5"/>
      <c r="J101" s="71">
        <v>3</v>
      </c>
      <c r="K101" s="5">
        <v>4</v>
      </c>
      <c r="L101" s="69">
        <v>1</v>
      </c>
      <c r="M101" s="5"/>
      <c r="N101" s="72">
        <f>(83+29)/2</f>
        <v>56</v>
      </c>
      <c r="O101" s="71">
        <f>(71+30)/2</f>
        <v>50.5</v>
      </c>
      <c r="P101" s="70">
        <f>(71+44)/2</f>
        <v>57.5</v>
      </c>
      <c r="Q101" s="5"/>
      <c r="R101" s="17">
        <v>3</v>
      </c>
      <c r="S101" s="5">
        <v>5</v>
      </c>
      <c r="T101" s="69">
        <v>8</v>
      </c>
      <c r="U101" s="73" t="s">
        <v>34</v>
      </c>
      <c r="V101" s="4" t="s">
        <v>35</v>
      </c>
      <c r="W101" s="61">
        <f t="shared" si="11"/>
        <v>4.7244094488188976E-2</v>
      </c>
      <c r="X101" s="62">
        <f t="shared" si="9"/>
        <v>7.2072072072072071E-2</v>
      </c>
      <c r="Y101" s="63">
        <f t="shared" si="9"/>
        <v>1.3422818791946308E-2</v>
      </c>
      <c r="Z101" s="64">
        <f t="shared" si="10"/>
        <v>4.4246328450735783E-2</v>
      </c>
      <c r="AA101" s="62">
        <f t="shared" si="12"/>
        <v>5.0847457627118647E-2</v>
      </c>
      <c r="AB101" s="65">
        <f t="shared" si="12"/>
        <v>9.0090090090090086E-2</v>
      </c>
      <c r="AC101" s="62">
        <f t="shared" si="12"/>
        <v>0.12213740458015267</v>
      </c>
      <c r="AD101" s="66">
        <f t="shared" si="13"/>
        <v>8.7691650765787124E-2</v>
      </c>
      <c r="AE101" s="74">
        <v>1</v>
      </c>
      <c r="AF101" s="14">
        <v>0</v>
      </c>
      <c r="AG101" s="74">
        <v>0</v>
      </c>
      <c r="AH101" s="14">
        <v>1</v>
      </c>
      <c r="AI101" s="74">
        <v>0</v>
      </c>
    </row>
    <row r="102" spans="1:35" s="4" customFormat="1">
      <c r="A102" s="1"/>
      <c r="B102" s="2"/>
      <c r="C102" s="17"/>
      <c r="D102" s="17"/>
      <c r="E102" s="17" t="s">
        <v>28</v>
      </c>
      <c r="F102" s="4">
        <f>(91+40)/2</f>
        <v>65.5</v>
      </c>
      <c r="G102" s="69">
        <f>(87+42)/2</f>
        <v>64.5</v>
      </c>
      <c r="H102" s="70">
        <f>(91+34)/2</f>
        <v>62.5</v>
      </c>
      <c r="I102" s="5"/>
      <c r="J102" s="71">
        <v>3</v>
      </c>
      <c r="K102" s="5">
        <v>6</v>
      </c>
      <c r="L102" s="69">
        <v>7</v>
      </c>
      <c r="M102" s="5"/>
      <c r="N102" s="72">
        <f>(58+33)/2</f>
        <v>45.5</v>
      </c>
      <c r="O102" s="71">
        <f>(60+37)/2</f>
        <v>48.5</v>
      </c>
      <c r="P102" s="70">
        <f>(59+29)/2</f>
        <v>44</v>
      </c>
      <c r="Q102" s="5"/>
      <c r="R102" s="17">
        <v>4</v>
      </c>
      <c r="S102" s="5">
        <v>5</v>
      </c>
      <c r="T102" s="69">
        <v>8</v>
      </c>
      <c r="U102" s="73"/>
      <c r="W102" s="61">
        <f t="shared" si="11"/>
        <v>4.3795620437956206E-2</v>
      </c>
      <c r="X102" s="62">
        <f t="shared" si="9"/>
        <v>8.5106382978723402E-2</v>
      </c>
      <c r="Y102" s="63">
        <f t="shared" si="9"/>
        <v>0.10071942446043165</v>
      </c>
      <c r="Z102" s="64">
        <f t="shared" si="10"/>
        <v>7.6540475959037083E-2</v>
      </c>
      <c r="AA102" s="62">
        <f t="shared" si="12"/>
        <v>8.0808080808080815E-2</v>
      </c>
      <c r="AB102" s="65">
        <f t="shared" si="12"/>
        <v>9.3457943925233641E-2</v>
      </c>
      <c r="AC102" s="62">
        <f t="shared" si="12"/>
        <v>0.15384615384615385</v>
      </c>
      <c r="AD102" s="66">
        <f t="shared" si="13"/>
        <v>0.10937072619315609</v>
      </c>
      <c r="AE102" s="74"/>
      <c r="AF102" s="14"/>
      <c r="AG102" s="74"/>
      <c r="AH102" s="14"/>
      <c r="AI102" s="74"/>
    </row>
    <row r="103" spans="1:35" s="4" customFormat="1">
      <c r="A103" s="1"/>
      <c r="B103" s="2"/>
      <c r="C103" s="17"/>
      <c r="D103" s="17"/>
      <c r="E103" s="17" t="s">
        <v>29</v>
      </c>
      <c r="F103" s="4">
        <f>(65+32)/2</f>
        <v>48.5</v>
      </c>
      <c r="G103" s="69">
        <f>(82+47)/2</f>
        <v>64.5</v>
      </c>
      <c r="H103" s="70">
        <f>(51+25)/2</f>
        <v>38</v>
      </c>
      <c r="I103" s="5"/>
      <c r="J103" s="71">
        <v>5</v>
      </c>
      <c r="K103" s="5">
        <v>6</v>
      </c>
      <c r="L103" s="69">
        <v>8</v>
      </c>
      <c r="M103" s="5"/>
      <c r="N103" s="72">
        <f>(127+61)/2</f>
        <v>94</v>
      </c>
      <c r="O103" s="71">
        <f>(129+48)/2</f>
        <v>88.5</v>
      </c>
      <c r="P103" s="70">
        <f>(87+39)/2</f>
        <v>63</v>
      </c>
      <c r="Q103" s="5"/>
      <c r="R103" s="17">
        <v>11</v>
      </c>
      <c r="S103" s="5">
        <v>6</v>
      </c>
      <c r="T103" s="69">
        <v>4</v>
      </c>
      <c r="U103" s="73"/>
      <c r="W103" s="61">
        <f t="shared" si="11"/>
        <v>9.3457943925233641E-2</v>
      </c>
      <c r="X103" s="61">
        <f t="shared" si="9"/>
        <v>8.5106382978723402E-2</v>
      </c>
      <c r="Y103" s="62">
        <f t="shared" si="9"/>
        <v>0.17391304347826086</v>
      </c>
      <c r="Z103" s="64">
        <f t="shared" si="10"/>
        <v>0.11749245679407265</v>
      </c>
      <c r="AA103" s="62">
        <f t="shared" si="12"/>
        <v>0.10476190476190476</v>
      </c>
      <c r="AB103" s="65">
        <f t="shared" si="12"/>
        <v>6.3492063492063489E-2</v>
      </c>
      <c r="AC103" s="62">
        <f t="shared" si="12"/>
        <v>5.9701492537313432E-2</v>
      </c>
      <c r="AD103" s="66">
        <f t="shared" si="13"/>
        <v>7.5985153597093902E-2</v>
      </c>
      <c r="AE103" s="74"/>
      <c r="AF103" s="14"/>
      <c r="AG103" s="74"/>
      <c r="AH103" s="14"/>
      <c r="AI103" s="74"/>
    </row>
    <row r="104" spans="1:35" s="78" customFormat="1" ht="14.1" customHeight="1">
      <c r="A104" s="75"/>
      <c r="B104" s="76"/>
      <c r="C104" s="77"/>
      <c r="D104" s="77"/>
      <c r="E104" s="77" t="s">
        <v>30</v>
      </c>
      <c r="F104" s="78">
        <f>(76+41)/2</f>
        <v>58.5</v>
      </c>
      <c r="G104" s="79">
        <f>(81+40)/2</f>
        <v>60.5</v>
      </c>
      <c r="H104" s="80">
        <f>(60+30)/2</f>
        <v>45</v>
      </c>
      <c r="I104" s="81"/>
      <c r="J104" s="82">
        <v>4</v>
      </c>
      <c r="K104" s="81">
        <v>7</v>
      </c>
      <c r="L104" s="79">
        <v>7</v>
      </c>
      <c r="M104" s="81"/>
      <c r="N104" s="83">
        <f>(114+44)/2</f>
        <v>79</v>
      </c>
      <c r="O104" s="82">
        <f>(69+34)/2</f>
        <v>51.5</v>
      </c>
      <c r="P104" s="80">
        <f>(73+37)/2</f>
        <v>55</v>
      </c>
      <c r="Q104" s="81"/>
      <c r="R104" s="77">
        <v>9</v>
      </c>
      <c r="S104" s="81">
        <v>6</v>
      </c>
      <c r="T104" s="79">
        <v>5</v>
      </c>
      <c r="U104" s="84"/>
      <c r="W104" s="85">
        <f t="shared" si="11"/>
        <v>6.4000000000000001E-2</v>
      </c>
      <c r="X104" s="85">
        <f t="shared" si="9"/>
        <v>0.1037037037037037</v>
      </c>
      <c r="Y104" s="86">
        <f t="shared" si="9"/>
        <v>0.13461538461538461</v>
      </c>
      <c r="Z104" s="283">
        <f t="shared" si="10"/>
        <v>0.10077302943969609</v>
      </c>
      <c r="AA104" s="86">
        <f t="shared" si="12"/>
        <v>0.10227272727272728</v>
      </c>
      <c r="AB104" s="89">
        <f t="shared" si="12"/>
        <v>0.10434782608695652</v>
      </c>
      <c r="AC104" s="86">
        <f t="shared" si="12"/>
        <v>8.3333333333333329E-2</v>
      </c>
      <c r="AD104" s="284">
        <f t="shared" si="13"/>
        <v>9.6651295564339046E-2</v>
      </c>
      <c r="AE104" s="91"/>
      <c r="AF104" s="92"/>
      <c r="AG104" s="91"/>
      <c r="AH104" s="92"/>
      <c r="AI104" s="91"/>
    </row>
    <row r="105" spans="1:35" s="65" customFormat="1">
      <c r="A105" s="1"/>
      <c r="B105" s="2">
        <v>5</v>
      </c>
      <c r="C105" s="17" t="s">
        <v>23</v>
      </c>
      <c r="D105" s="126" t="s">
        <v>24</v>
      </c>
      <c r="E105" s="17" t="s">
        <v>25</v>
      </c>
      <c r="F105" s="65">
        <f>(14+82)/2</f>
        <v>48</v>
      </c>
      <c r="G105" s="93">
        <f>(13+73)/2</f>
        <v>43</v>
      </c>
      <c r="H105" s="94">
        <f>(112+13)/2</f>
        <v>62.5</v>
      </c>
      <c r="I105" s="95"/>
      <c r="J105" s="96">
        <v>6</v>
      </c>
      <c r="K105" s="95">
        <v>0</v>
      </c>
      <c r="L105" s="93">
        <v>2</v>
      </c>
      <c r="M105" s="95"/>
      <c r="N105" s="97">
        <f>(12+83)/2</f>
        <v>47.5</v>
      </c>
      <c r="O105" s="96">
        <f>(7+71)/2</f>
        <v>39</v>
      </c>
      <c r="P105" s="94">
        <f>(14+71)/2</f>
        <v>42.5</v>
      </c>
      <c r="Q105" s="95"/>
      <c r="R105" s="62">
        <v>1</v>
      </c>
      <c r="S105" s="95">
        <v>1</v>
      </c>
      <c r="T105" s="93">
        <v>2</v>
      </c>
      <c r="U105" s="98" t="s">
        <v>34</v>
      </c>
      <c r="V105" s="4" t="s">
        <v>35</v>
      </c>
      <c r="W105" s="61">
        <f t="shared" si="11"/>
        <v>0.1111111111111111</v>
      </c>
      <c r="X105" s="61">
        <f t="shared" si="9"/>
        <v>0</v>
      </c>
      <c r="Y105" s="62">
        <f t="shared" si="9"/>
        <v>3.1007751937984496E-2</v>
      </c>
      <c r="Z105" s="64">
        <f>AVERAGE(W105:Y105)</f>
        <v>4.7372954349698536E-2</v>
      </c>
      <c r="AA105" s="62">
        <f t="shared" si="12"/>
        <v>2.0618556701030927E-2</v>
      </c>
      <c r="AB105" s="65">
        <f t="shared" si="12"/>
        <v>2.5000000000000001E-2</v>
      </c>
      <c r="AC105" s="62">
        <f t="shared" si="12"/>
        <v>4.49438202247191E-2</v>
      </c>
      <c r="AD105" s="64">
        <f t="shared" si="13"/>
        <v>3.018745897525001E-2</v>
      </c>
      <c r="AE105" s="99">
        <v>1</v>
      </c>
      <c r="AF105" s="100">
        <v>0</v>
      </c>
      <c r="AG105" s="99">
        <v>0</v>
      </c>
      <c r="AH105" s="100">
        <v>1</v>
      </c>
      <c r="AI105" s="99">
        <v>0</v>
      </c>
    </row>
    <row r="106" spans="1:35" s="65" customFormat="1">
      <c r="A106" s="1"/>
      <c r="B106" s="2"/>
      <c r="C106" s="17"/>
      <c r="D106" s="17"/>
      <c r="E106" s="17" t="s">
        <v>28</v>
      </c>
      <c r="F106" s="65">
        <f>(15+91)/2</f>
        <v>53</v>
      </c>
      <c r="G106" s="93">
        <f>(17+87)/2</f>
        <v>52</v>
      </c>
      <c r="H106" s="94">
        <f>(17+91)/2</f>
        <v>54</v>
      </c>
      <c r="I106" s="95"/>
      <c r="J106" s="96">
        <v>4</v>
      </c>
      <c r="K106" s="95">
        <v>3</v>
      </c>
      <c r="L106" s="93">
        <v>6</v>
      </c>
      <c r="M106" s="95"/>
      <c r="N106" s="97">
        <f>(19+58)/2</f>
        <v>38.5</v>
      </c>
      <c r="O106" s="96">
        <f>(19+60)/2</f>
        <v>39.5</v>
      </c>
      <c r="P106" s="94">
        <f>(14+59)/2</f>
        <v>36.5</v>
      </c>
      <c r="Q106" s="95"/>
      <c r="R106" s="62">
        <v>4</v>
      </c>
      <c r="S106" s="95">
        <v>6</v>
      </c>
      <c r="T106" s="93">
        <v>3</v>
      </c>
      <c r="U106" s="98"/>
      <c r="W106" s="61">
        <f t="shared" si="11"/>
        <v>7.0175438596491224E-2</v>
      </c>
      <c r="X106" s="61">
        <f t="shared" si="9"/>
        <v>5.4545454545454543E-2</v>
      </c>
      <c r="Y106" s="62">
        <f t="shared" si="9"/>
        <v>0.1</v>
      </c>
      <c r="Z106" s="64">
        <f t="shared" ref="Z106:Z169" si="14">AVERAGE(W106:Y106)</f>
        <v>7.4906964380648589E-2</v>
      </c>
      <c r="AA106" s="62">
        <f t="shared" si="12"/>
        <v>9.4117647058823528E-2</v>
      </c>
      <c r="AB106" s="65">
        <f t="shared" si="12"/>
        <v>0.13186813186813187</v>
      </c>
      <c r="AC106" s="62">
        <f t="shared" si="12"/>
        <v>7.5949367088607597E-2</v>
      </c>
      <c r="AD106" s="64">
        <f t="shared" si="13"/>
        <v>0.10064504867185432</v>
      </c>
      <c r="AE106" s="99"/>
      <c r="AF106" s="100"/>
      <c r="AG106" s="99"/>
      <c r="AH106" s="100"/>
      <c r="AI106" s="99"/>
    </row>
    <row r="107" spans="1:35" s="65" customFormat="1">
      <c r="A107" s="1"/>
      <c r="B107" s="2"/>
      <c r="C107" s="17"/>
      <c r="D107" s="17"/>
      <c r="E107" s="17" t="s">
        <v>29</v>
      </c>
      <c r="F107" s="65">
        <f>(19+65)/2</f>
        <v>42</v>
      </c>
      <c r="G107" s="93">
        <f>(26+82)/2</f>
        <v>54</v>
      </c>
      <c r="H107" s="94">
        <f>(22+51)/2</f>
        <v>36.5</v>
      </c>
      <c r="I107" s="95"/>
      <c r="J107" s="96">
        <v>2</v>
      </c>
      <c r="K107" s="95">
        <v>3</v>
      </c>
      <c r="L107" s="93">
        <v>6</v>
      </c>
      <c r="M107" s="95"/>
      <c r="N107" s="97">
        <f>(24+127)/2</f>
        <v>75.5</v>
      </c>
      <c r="O107" s="96">
        <f>(14+129)/2</f>
        <v>71.5</v>
      </c>
      <c r="P107" s="94">
        <f>(20+87)/2</f>
        <v>53.5</v>
      </c>
      <c r="Q107" s="95"/>
      <c r="R107" s="62">
        <v>7</v>
      </c>
      <c r="S107" s="95">
        <v>9</v>
      </c>
      <c r="T107" s="93">
        <v>4</v>
      </c>
      <c r="U107" s="98"/>
      <c r="W107" s="61">
        <f t="shared" si="11"/>
        <v>4.5454545454545456E-2</v>
      </c>
      <c r="X107" s="61">
        <f t="shared" si="9"/>
        <v>5.2631578947368418E-2</v>
      </c>
      <c r="Y107" s="62">
        <f t="shared" si="9"/>
        <v>0.14117647058823529</v>
      </c>
      <c r="Z107" s="64">
        <f t="shared" si="14"/>
        <v>7.9754198330049722E-2</v>
      </c>
      <c r="AA107" s="62">
        <f t="shared" si="12"/>
        <v>8.4848484848484854E-2</v>
      </c>
      <c r="AB107" s="65">
        <f t="shared" si="12"/>
        <v>0.11180124223602485</v>
      </c>
      <c r="AC107" s="62">
        <f t="shared" si="12"/>
        <v>6.9565217391304349E-2</v>
      </c>
      <c r="AD107" s="64">
        <f t="shared" si="13"/>
        <v>8.873831482527135E-2</v>
      </c>
      <c r="AE107" s="99"/>
      <c r="AF107" s="100"/>
      <c r="AG107" s="99"/>
      <c r="AH107" s="100"/>
      <c r="AI107" s="99"/>
    </row>
    <row r="108" spans="1:35" s="89" customFormat="1">
      <c r="A108" s="75"/>
      <c r="B108" s="76"/>
      <c r="C108" s="77"/>
      <c r="D108" s="77"/>
      <c r="E108" s="77" t="s">
        <v>30</v>
      </c>
      <c r="F108" s="89">
        <f>(26+76)/2</f>
        <v>51</v>
      </c>
      <c r="G108" s="101">
        <f>(23+81)/2</f>
        <v>52</v>
      </c>
      <c r="H108" s="102">
        <f>(18+60)/2</f>
        <v>39</v>
      </c>
      <c r="I108" s="103"/>
      <c r="J108" s="104">
        <v>3</v>
      </c>
      <c r="K108" s="103">
        <v>6</v>
      </c>
      <c r="L108" s="101">
        <v>3</v>
      </c>
      <c r="M108" s="103"/>
      <c r="N108" s="105">
        <f>(30+114)/2</f>
        <v>72</v>
      </c>
      <c r="O108" s="104">
        <f>(20+69)/2</f>
        <v>44.5</v>
      </c>
      <c r="P108" s="102">
        <f>(20+73)/2</f>
        <v>46.5</v>
      </c>
      <c r="Q108" s="103"/>
      <c r="R108" s="86">
        <v>4</v>
      </c>
      <c r="S108" s="103">
        <v>7</v>
      </c>
      <c r="T108" s="101">
        <v>3</v>
      </c>
      <c r="U108" s="106"/>
      <c r="W108" s="85">
        <f t="shared" si="11"/>
        <v>5.5555555555555552E-2</v>
      </c>
      <c r="X108" s="85">
        <f t="shared" si="9"/>
        <v>0.10344827586206896</v>
      </c>
      <c r="Y108" s="86">
        <f t="shared" si="9"/>
        <v>7.1428571428571425E-2</v>
      </c>
      <c r="Z108" s="285">
        <f t="shared" si="14"/>
        <v>7.681080094873198E-2</v>
      </c>
      <c r="AA108" s="86">
        <f t="shared" si="12"/>
        <v>5.2631578947368418E-2</v>
      </c>
      <c r="AB108" s="89">
        <f t="shared" si="12"/>
        <v>0.13592233009708737</v>
      </c>
      <c r="AC108" s="86">
        <f t="shared" si="12"/>
        <v>6.0606060606060608E-2</v>
      </c>
      <c r="AD108" s="425">
        <f t="shared" si="13"/>
        <v>8.3053323216838795E-2</v>
      </c>
      <c r="AE108" s="107"/>
      <c r="AF108" s="108"/>
      <c r="AG108" s="107"/>
      <c r="AH108" s="108"/>
      <c r="AI108" s="107"/>
    </row>
    <row r="109" spans="1:35" s="4" customFormat="1">
      <c r="A109" s="1"/>
      <c r="B109" s="2">
        <v>13</v>
      </c>
      <c r="C109" s="17" t="s">
        <v>23</v>
      </c>
      <c r="D109" s="126" t="s">
        <v>24</v>
      </c>
      <c r="E109" s="17" t="s">
        <v>25</v>
      </c>
      <c r="F109" s="152" t="s">
        <v>42</v>
      </c>
      <c r="G109" s="168" t="s">
        <v>42</v>
      </c>
      <c r="H109" s="70">
        <f>(67+51)/2</f>
        <v>59</v>
      </c>
      <c r="I109" s="5"/>
      <c r="J109" s="153" t="s">
        <v>43</v>
      </c>
      <c r="K109" s="166" t="s">
        <v>43</v>
      </c>
      <c r="L109" s="69">
        <v>0</v>
      </c>
      <c r="M109" s="5"/>
      <c r="N109" s="167" t="s">
        <v>42</v>
      </c>
      <c r="O109" s="154" t="s">
        <v>42</v>
      </c>
      <c r="P109" s="165" t="s">
        <v>42</v>
      </c>
      <c r="Q109" s="155"/>
      <c r="R109" s="154" t="s">
        <v>43</v>
      </c>
      <c r="S109" s="155" t="s">
        <v>43</v>
      </c>
      <c r="T109" s="168" t="s">
        <v>43</v>
      </c>
      <c r="U109" s="169" t="s">
        <v>34</v>
      </c>
      <c r="V109" s="4" t="s">
        <v>35</v>
      </c>
      <c r="W109" s="133" t="s">
        <v>43</v>
      </c>
      <c r="X109" s="133" t="s">
        <v>43</v>
      </c>
      <c r="Y109" s="62">
        <f t="shared" si="9"/>
        <v>0</v>
      </c>
      <c r="Z109" s="64">
        <f t="shared" si="14"/>
        <v>0</v>
      </c>
      <c r="AA109" s="133" t="s">
        <v>43</v>
      </c>
      <c r="AB109" s="134" t="s">
        <v>43</v>
      </c>
      <c r="AC109" s="134" t="s">
        <v>43</v>
      </c>
      <c r="AD109" s="66"/>
      <c r="AE109" s="74">
        <v>0</v>
      </c>
      <c r="AF109" s="14">
        <v>1</v>
      </c>
      <c r="AG109" s="74">
        <v>0</v>
      </c>
      <c r="AH109" s="14">
        <v>0</v>
      </c>
      <c r="AI109" s="74">
        <v>0</v>
      </c>
    </row>
    <row r="110" spans="1:35" s="4" customFormat="1">
      <c r="A110" s="1"/>
      <c r="B110" s="2"/>
      <c r="C110" s="17"/>
      <c r="D110" s="17"/>
      <c r="E110" s="17" t="s">
        <v>28</v>
      </c>
      <c r="F110" s="152" t="s">
        <v>42</v>
      </c>
      <c r="G110" s="168" t="s">
        <v>42</v>
      </c>
      <c r="H110" s="70">
        <f>(70+41)/2</f>
        <v>55.5</v>
      </c>
      <c r="I110" s="5"/>
      <c r="J110" s="153" t="s">
        <v>43</v>
      </c>
      <c r="K110" s="166" t="s">
        <v>43</v>
      </c>
      <c r="L110" s="69">
        <v>1</v>
      </c>
      <c r="M110" s="5"/>
      <c r="N110" s="167" t="s">
        <v>42</v>
      </c>
      <c r="O110" s="154" t="s">
        <v>42</v>
      </c>
      <c r="P110" s="165" t="s">
        <v>42</v>
      </c>
      <c r="Q110" s="155"/>
      <c r="R110" s="154" t="s">
        <v>43</v>
      </c>
      <c r="S110" s="155" t="s">
        <v>43</v>
      </c>
      <c r="T110" s="168" t="s">
        <v>43</v>
      </c>
      <c r="U110" s="169"/>
      <c r="W110" s="133" t="s">
        <v>43</v>
      </c>
      <c r="X110" s="133" t="s">
        <v>43</v>
      </c>
      <c r="Y110" s="62">
        <f t="shared" si="9"/>
        <v>1.7699115044247787E-2</v>
      </c>
      <c r="Z110" s="64">
        <f t="shared" si="14"/>
        <v>1.7699115044247787E-2</v>
      </c>
      <c r="AA110" s="133" t="s">
        <v>43</v>
      </c>
      <c r="AB110" s="134" t="s">
        <v>43</v>
      </c>
      <c r="AC110" s="134" t="s">
        <v>43</v>
      </c>
      <c r="AD110" s="66"/>
      <c r="AE110" s="74"/>
      <c r="AF110" s="14"/>
      <c r="AG110" s="74"/>
      <c r="AH110" s="14"/>
      <c r="AI110" s="74"/>
    </row>
    <row r="111" spans="1:35" s="4" customFormat="1">
      <c r="A111" s="1"/>
      <c r="B111" s="2"/>
      <c r="C111" s="17"/>
      <c r="D111" s="17"/>
      <c r="E111" s="17" t="s">
        <v>29</v>
      </c>
      <c r="F111" s="152" t="s">
        <v>42</v>
      </c>
      <c r="G111" s="168" t="s">
        <v>42</v>
      </c>
      <c r="H111" s="70">
        <f>(98+63)/2</f>
        <v>80.5</v>
      </c>
      <c r="I111" s="5"/>
      <c r="J111" s="153" t="s">
        <v>43</v>
      </c>
      <c r="K111" s="166" t="s">
        <v>43</v>
      </c>
      <c r="L111" s="69">
        <v>0</v>
      </c>
      <c r="M111" s="5"/>
      <c r="N111" s="167" t="s">
        <v>42</v>
      </c>
      <c r="O111" s="154" t="s">
        <v>42</v>
      </c>
      <c r="P111" s="165" t="s">
        <v>42</v>
      </c>
      <c r="Q111" s="155"/>
      <c r="R111" s="154" t="s">
        <v>43</v>
      </c>
      <c r="S111" s="155" t="s">
        <v>43</v>
      </c>
      <c r="T111" s="168" t="s">
        <v>43</v>
      </c>
      <c r="U111" s="169"/>
      <c r="W111" s="133" t="s">
        <v>43</v>
      </c>
      <c r="X111" s="133" t="s">
        <v>43</v>
      </c>
      <c r="Y111" s="62">
        <f t="shared" si="9"/>
        <v>0</v>
      </c>
      <c r="Z111" s="64">
        <f t="shared" si="14"/>
        <v>0</v>
      </c>
      <c r="AA111" s="133" t="s">
        <v>43</v>
      </c>
      <c r="AB111" s="134" t="s">
        <v>43</v>
      </c>
      <c r="AC111" s="134" t="s">
        <v>43</v>
      </c>
      <c r="AD111" s="66"/>
      <c r="AE111" s="74"/>
      <c r="AF111" s="14"/>
      <c r="AG111" s="74"/>
      <c r="AH111" s="14"/>
      <c r="AI111" s="74"/>
    </row>
    <row r="112" spans="1:35" s="78" customFormat="1">
      <c r="A112" s="75"/>
      <c r="B112" s="76"/>
      <c r="C112" s="77"/>
      <c r="D112" s="77"/>
      <c r="E112" s="77" t="s">
        <v>30</v>
      </c>
      <c r="F112" s="156" t="s">
        <v>42</v>
      </c>
      <c r="G112" s="174" t="s">
        <v>42</v>
      </c>
      <c r="H112" s="80">
        <f>(56+41)/2</f>
        <v>48.5</v>
      </c>
      <c r="I112" s="81"/>
      <c r="J112" s="157" t="s">
        <v>43</v>
      </c>
      <c r="K112" s="172" t="s">
        <v>43</v>
      </c>
      <c r="L112" s="79">
        <v>1</v>
      </c>
      <c r="M112" s="81"/>
      <c r="N112" s="173" t="s">
        <v>42</v>
      </c>
      <c r="O112" s="158" t="s">
        <v>42</v>
      </c>
      <c r="P112" s="171" t="s">
        <v>42</v>
      </c>
      <c r="Q112" s="159"/>
      <c r="R112" s="158" t="s">
        <v>43</v>
      </c>
      <c r="S112" s="159" t="s">
        <v>43</v>
      </c>
      <c r="T112" s="174" t="s">
        <v>43</v>
      </c>
      <c r="U112" s="175"/>
      <c r="W112" s="146" t="s">
        <v>43</v>
      </c>
      <c r="X112" s="146" t="s">
        <v>43</v>
      </c>
      <c r="Y112" s="86">
        <f t="shared" si="9"/>
        <v>2.0202020202020204E-2</v>
      </c>
      <c r="Z112" s="285">
        <f t="shared" si="14"/>
        <v>2.0202020202020204E-2</v>
      </c>
      <c r="AA112" s="146" t="s">
        <v>43</v>
      </c>
      <c r="AB112" s="147" t="s">
        <v>43</v>
      </c>
      <c r="AC112" s="147" t="s">
        <v>43</v>
      </c>
      <c r="AD112" s="284"/>
      <c r="AE112" s="91"/>
      <c r="AF112" s="92"/>
      <c r="AG112" s="91"/>
      <c r="AH112" s="92"/>
      <c r="AI112" s="91"/>
    </row>
    <row r="113" spans="1:53" s="65" customFormat="1">
      <c r="A113" s="1"/>
      <c r="B113" s="2">
        <v>16</v>
      </c>
      <c r="C113" s="17" t="s">
        <v>36</v>
      </c>
      <c r="D113" s="17" t="s">
        <v>37</v>
      </c>
      <c r="E113" s="17" t="s">
        <v>25</v>
      </c>
      <c r="F113" s="65">
        <v>67</v>
      </c>
      <c r="G113" s="93">
        <v>91</v>
      </c>
      <c r="H113" s="94">
        <v>105</v>
      </c>
      <c r="I113" s="95"/>
      <c r="J113" s="96">
        <v>0</v>
      </c>
      <c r="K113" s="95">
        <v>0</v>
      </c>
      <c r="L113" s="93">
        <v>0</v>
      </c>
      <c r="M113" s="95"/>
      <c r="N113" s="133" t="s">
        <v>42</v>
      </c>
      <c r="O113" s="96">
        <v>87</v>
      </c>
      <c r="P113" s="94">
        <v>106</v>
      </c>
      <c r="Q113" s="95"/>
      <c r="R113" s="134" t="s">
        <v>43</v>
      </c>
      <c r="S113" s="95">
        <v>0</v>
      </c>
      <c r="T113" s="93">
        <v>0</v>
      </c>
      <c r="U113" s="98" t="s">
        <v>34</v>
      </c>
      <c r="V113" s="4" t="s">
        <v>35</v>
      </c>
      <c r="W113" s="61">
        <f t="shared" si="11"/>
        <v>0</v>
      </c>
      <c r="X113" s="61">
        <f t="shared" si="9"/>
        <v>0</v>
      </c>
      <c r="Y113" s="62">
        <f t="shared" si="9"/>
        <v>0</v>
      </c>
      <c r="Z113" s="64">
        <f t="shared" si="14"/>
        <v>0</v>
      </c>
      <c r="AA113" s="133" t="s">
        <v>43</v>
      </c>
      <c r="AB113" s="62">
        <f t="shared" si="12"/>
        <v>0</v>
      </c>
      <c r="AC113" s="62">
        <f t="shared" si="12"/>
        <v>0</v>
      </c>
      <c r="AD113" s="66">
        <f t="shared" ref="AD113:AD131" si="15">AVERAGE(AA113:AC113)</f>
        <v>0</v>
      </c>
      <c r="AE113" s="99">
        <v>1</v>
      </c>
      <c r="AF113" s="100">
        <v>0</v>
      </c>
      <c r="AG113" s="99">
        <v>0</v>
      </c>
      <c r="AH113" s="100">
        <v>0</v>
      </c>
      <c r="AI113" s="99">
        <v>0</v>
      </c>
    </row>
    <row r="114" spans="1:53" s="65" customFormat="1">
      <c r="A114" s="1"/>
      <c r="B114" s="2"/>
      <c r="C114" s="17"/>
      <c r="D114" s="17"/>
      <c r="E114" s="17" t="s">
        <v>28</v>
      </c>
      <c r="F114" s="65">
        <v>95</v>
      </c>
      <c r="G114" s="93">
        <v>69</v>
      </c>
      <c r="H114" s="94">
        <v>108</v>
      </c>
      <c r="I114" s="95"/>
      <c r="J114" s="96">
        <v>1</v>
      </c>
      <c r="K114" s="95">
        <v>0</v>
      </c>
      <c r="L114" s="93">
        <v>2</v>
      </c>
      <c r="M114" s="95"/>
      <c r="N114" s="133" t="s">
        <v>42</v>
      </c>
      <c r="O114" s="96">
        <v>85</v>
      </c>
      <c r="P114" s="94">
        <v>72</v>
      </c>
      <c r="Q114" s="95"/>
      <c r="R114" s="134" t="s">
        <v>43</v>
      </c>
      <c r="S114" s="95">
        <v>2</v>
      </c>
      <c r="T114" s="93">
        <v>3</v>
      </c>
      <c r="U114" s="98"/>
      <c r="W114" s="61">
        <f t="shared" si="11"/>
        <v>1.0416666666666666E-2</v>
      </c>
      <c r="X114" s="61">
        <f t="shared" si="9"/>
        <v>0</v>
      </c>
      <c r="Y114" s="62">
        <f t="shared" si="9"/>
        <v>1.8181818181818181E-2</v>
      </c>
      <c r="Z114" s="64">
        <f t="shared" si="14"/>
        <v>9.5328282828282818E-3</v>
      </c>
      <c r="AA114" s="133" t="s">
        <v>43</v>
      </c>
      <c r="AB114" s="62">
        <f t="shared" si="12"/>
        <v>2.2988505747126436E-2</v>
      </c>
      <c r="AC114" s="62">
        <f t="shared" si="12"/>
        <v>0.04</v>
      </c>
      <c r="AD114" s="66">
        <f t="shared" si="15"/>
        <v>3.1494252873563222E-2</v>
      </c>
      <c r="AE114" s="99"/>
      <c r="AF114" s="100"/>
      <c r="AG114" s="99"/>
      <c r="AH114" s="100"/>
      <c r="AI114" s="99"/>
    </row>
    <row r="115" spans="1:53" s="65" customFormat="1">
      <c r="A115" s="1"/>
      <c r="B115" s="2"/>
      <c r="C115" s="17"/>
      <c r="D115" s="17"/>
      <c r="E115" s="17" t="s">
        <v>29</v>
      </c>
      <c r="F115" s="65">
        <v>90</v>
      </c>
      <c r="G115" s="93">
        <v>133</v>
      </c>
      <c r="H115" s="94">
        <v>108</v>
      </c>
      <c r="I115" s="95"/>
      <c r="J115" s="96">
        <v>3</v>
      </c>
      <c r="K115" s="95">
        <v>0</v>
      </c>
      <c r="L115" s="93">
        <v>1</v>
      </c>
      <c r="M115" s="95"/>
      <c r="N115" s="133" t="s">
        <v>42</v>
      </c>
      <c r="O115" s="96">
        <v>114</v>
      </c>
      <c r="P115" s="94">
        <v>85</v>
      </c>
      <c r="Q115" s="95"/>
      <c r="R115" s="134" t="s">
        <v>43</v>
      </c>
      <c r="S115" s="95">
        <v>0</v>
      </c>
      <c r="T115" s="93">
        <v>0</v>
      </c>
      <c r="U115" s="98"/>
      <c r="W115" s="61">
        <f t="shared" si="11"/>
        <v>3.2258064516129031E-2</v>
      </c>
      <c r="X115" s="61">
        <f t="shared" si="9"/>
        <v>0</v>
      </c>
      <c r="Y115" s="62">
        <f t="shared" si="9"/>
        <v>9.1743119266055051E-3</v>
      </c>
      <c r="Z115" s="64">
        <f t="shared" si="14"/>
        <v>1.3810792147578179E-2</v>
      </c>
      <c r="AA115" s="133" t="s">
        <v>43</v>
      </c>
      <c r="AB115" s="62">
        <f t="shared" si="12"/>
        <v>0</v>
      </c>
      <c r="AC115" s="62">
        <f t="shared" si="12"/>
        <v>0</v>
      </c>
      <c r="AD115" s="66">
        <f t="shared" si="15"/>
        <v>0</v>
      </c>
      <c r="AE115" s="99"/>
      <c r="AF115" s="100"/>
      <c r="AG115" s="99"/>
      <c r="AH115" s="100"/>
      <c r="AI115" s="99"/>
    </row>
    <row r="116" spans="1:53" s="89" customFormat="1">
      <c r="A116" s="75"/>
      <c r="B116" s="76"/>
      <c r="C116" s="77"/>
      <c r="D116" s="77"/>
      <c r="E116" s="77" t="s">
        <v>30</v>
      </c>
      <c r="F116" s="89">
        <v>113</v>
      </c>
      <c r="G116" s="101">
        <v>103</v>
      </c>
      <c r="H116" s="102">
        <v>69</v>
      </c>
      <c r="I116" s="103"/>
      <c r="J116" s="104">
        <v>0</v>
      </c>
      <c r="K116" s="103">
        <v>4</v>
      </c>
      <c r="L116" s="101">
        <v>0</v>
      </c>
      <c r="M116" s="103"/>
      <c r="N116" s="146" t="s">
        <v>42</v>
      </c>
      <c r="O116" s="104">
        <v>107</v>
      </c>
      <c r="P116" s="102">
        <v>113</v>
      </c>
      <c r="Q116" s="103"/>
      <c r="R116" s="147" t="s">
        <v>43</v>
      </c>
      <c r="S116" s="103">
        <v>0</v>
      </c>
      <c r="T116" s="101">
        <v>0</v>
      </c>
      <c r="U116" s="106"/>
      <c r="W116" s="85">
        <f t="shared" si="11"/>
        <v>0</v>
      </c>
      <c r="X116" s="85">
        <f t="shared" si="9"/>
        <v>3.7383177570093455E-2</v>
      </c>
      <c r="Y116" s="86">
        <f t="shared" si="9"/>
        <v>0</v>
      </c>
      <c r="Z116" s="285">
        <f t="shared" si="14"/>
        <v>1.2461059190031152E-2</v>
      </c>
      <c r="AA116" s="146" t="s">
        <v>43</v>
      </c>
      <c r="AB116" s="86">
        <f t="shared" si="12"/>
        <v>0</v>
      </c>
      <c r="AC116" s="86">
        <f t="shared" si="12"/>
        <v>0</v>
      </c>
      <c r="AD116" s="284">
        <f t="shared" si="15"/>
        <v>0</v>
      </c>
      <c r="AE116" s="107"/>
      <c r="AF116" s="108"/>
      <c r="AG116" s="107"/>
      <c r="AH116" s="108"/>
      <c r="AI116" s="107"/>
    </row>
    <row r="117" spans="1:53" s="4" customFormat="1">
      <c r="A117" s="1"/>
      <c r="B117" s="2">
        <v>26</v>
      </c>
      <c r="C117" s="17" t="s">
        <v>31</v>
      </c>
      <c r="D117" s="17" t="s">
        <v>32</v>
      </c>
      <c r="E117" s="17" t="s">
        <v>25</v>
      </c>
      <c r="F117" s="286" t="s">
        <v>42</v>
      </c>
      <c r="G117" s="69">
        <v>50</v>
      </c>
      <c r="H117" s="176" t="s">
        <v>42</v>
      </c>
      <c r="I117" s="166"/>
      <c r="J117" s="153" t="s">
        <v>43</v>
      </c>
      <c r="K117" s="5">
        <v>1</v>
      </c>
      <c r="L117" s="164" t="s">
        <v>43</v>
      </c>
      <c r="M117" s="166"/>
      <c r="N117" s="72">
        <v>71</v>
      </c>
      <c r="O117" s="153" t="s">
        <v>42</v>
      </c>
      <c r="P117" s="176">
        <v>88</v>
      </c>
      <c r="Q117" s="166"/>
      <c r="R117" s="17">
        <v>0</v>
      </c>
      <c r="S117" s="166" t="s">
        <v>43</v>
      </c>
      <c r="T117" s="164">
        <v>1</v>
      </c>
      <c r="U117" s="177" t="s">
        <v>34</v>
      </c>
      <c r="V117" s="4" t="s">
        <v>35</v>
      </c>
      <c r="W117" s="133" t="s">
        <v>43</v>
      </c>
      <c r="X117" s="61">
        <f t="shared" si="9"/>
        <v>1.9607843137254902E-2</v>
      </c>
      <c r="Y117" s="134" t="s">
        <v>43</v>
      </c>
      <c r="Z117" s="64">
        <f t="shared" si="14"/>
        <v>1.9607843137254902E-2</v>
      </c>
      <c r="AA117" s="61">
        <f t="shared" si="12"/>
        <v>0</v>
      </c>
      <c r="AB117" s="134" t="s">
        <v>43</v>
      </c>
      <c r="AC117" s="62">
        <f t="shared" si="12"/>
        <v>1.1235955056179775E-2</v>
      </c>
      <c r="AD117" s="66">
        <f t="shared" si="15"/>
        <v>5.6179775280898875E-3</v>
      </c>
      <c r="AE117" s="74">
        <v>1</v>
      </c>
      <c r="AF117" s="14">
        <v>0</v>
      </c>
      <c r="AG117" s="74">
        <v>0</v>
      </c>
      <c r="AH117" s="14">
        <v>0</v>
      </c>
      <c r="AI117" s="74">
        <v>0</v>
      </c>
    </row>
    <row r="118" spans="1:53" s="4" customFormat="1">
      <c r="A118" s="1"/>
      <c r="B118" s="2"/>
      <c r="C118" s="17"/>
      <c r="D118" s="17"/>
      <c r="E118" s="17" t="s">
        <v>28</v>
      </c>
      <c r="F118" s="286" t="s">
        <v>42</v>
      </c>
      <c r="G118" s="69">
        <v>55</v>
      </c>
      <c r="H118" s="176" t="s">
        <v>42</v>
      </c>
      <c r="I118" s="166"/>
      <c r="J118" s="153" t="s">
        <v>43</v>
      </c>
      <c r="K118" s="5">
        <v>0</v>
      </c>
      <c r="L118" s="164" t="s">
        <v>43</v>
      </c>
      <c r="M118" s="166"/>
      <c r="N118" s="72">
        <v>37</v>
      </c>
      <c r="O118" s="153" t="s">
        <v>42</v>
      </c>
      <c r="P118" s="176">
        <v>29</v>
      </c>
      <c r="Q118" s="166"/>
      <c r="R118" s="17">
        <v>0</v>
      </c>
      <c r="S118" s="166" t="s">
        <v>43</v>
      </c>
      <c r="T118" s="164">
        <v>0</v>
      </c>
      <c r="U118" s="177"/>
      <c r="W118" s="133" t="s">
        <v>43</v>
      </c>
      <c r="X118" s="61">
        <f t="shared" si="9"/>
        <v>0</v>
      </c>
      <c r="Y118" s="134" t="s">
        <v>43</v>
      </c>
      <c r="Z118" s="64">
        <f t="shared" si="14"/>
        <v>0</v>
      </c>
      <c r="AA118" s="61">
        <f t="shared" si="12"/>
        <v>0</v>
      </c>
      <c r="AB118" s="134" t="s">
        <v>43</v>
      </c>
      <c r="AC118" s="62">
        <f t="shared" si="12"/>
        <v>0</v>
      </c>
      <c r="AD118" s="66">
        <f t="shared" si="15"/>
        <v>0</v>
      </c>
      <c r="AE118" s="74"/>
      <c r="AF118" s="14"/>
      <c r="AG118" s="74"/>
      <c r="AH118" s="14"/>
      <c r="AI118" s="74"/>
    </row>
    <row r="119" spans="1:53" s="4" customFormat="1">
      <c r="A119" s="1"/>
      <c r="B119" s="2"/>
      <c r="C119" s="17"/>
      <c r="D119" s="17"/>
      <c r="E119" s="17" t="s">
        <v>29</v>
      </c>
      <c r="F119" s="286" t="s">
        <v>42</v>
      </c>
      <c r="G119" s="69">
        <v>83</v>
      </c>
      <c r="H119" s="176" t="s">
        <v>42</v>
      </c>
      <c r="I119" s="166"/>
      <c r="J119" s="153" t="s">
        <v>43</v>
      </c>
      <c r="K119" s="5">
        <v>0</v>
      </c>
      <c r="L119" s="164" t="s">
        <v>43</v>
      </c>
      <c r="M119" s="166"/>
      <c r="N119" s="72">
        <v>100</v>
      </c>
      <c r="O119" s="153" t="s">
        <v>42</v>
      </c>
      <c r="P119" s="176">
        <v>79</v>
      </c>
      <c r="Q119" s="166"/>
      <c r="R119" s="17">
        <v>1</v>
      </c>
      <c r="S119" s="166" t="s">
        <v>43</v>
      </c>
      <c r="T119" s="164">
        <v>1</v>
      </c>
      <c r="U119" s="177"/>
      <c r="W119" s="133" t="s">
        <v>43</v>
      </c>
      <c r="X119" s="61">
        <f t="shared" si="9"/>
        <v>0</v>
      </c>
      <c r="Y119" s="134" t="s">
        <v>43</v>
      </c>
      <c r="Z119" s="64">
        <f t="shared" si="14"/>
        <v>0</v>
      </c>
      <c r="AA119" s="61">
        <f t="shared" si="12"/>
        <v>9.9009900990099011E-3</v>
      </c>
      <c r="AB119" s="134" t="s">
        <v>43</v>
      </c>
      <c r="AC119" s="62">
        <f t="shared" si="12"/>
        <v>1.2500000000000001E-2</v>
      </c>
      <c r="AD119" s="66">
        <f t="shared" si="15"/>
        <v>1.120049504950495E-2</v>
      </c>
      <c r="AE119" s="74"/>
      <c r="AF119" s="14"/>
      <c r="AG119" s="74"/>
      <c r="AH119" s="14"/>
      <c r="AI119" s="74"/>
    </row>
    <row r="120" spans="1:53" s="78" customFormat="1">
      <c r="A120" s="75"/>
      <c r="B120" s="76"/>
      <c r="C120" s="77"/>
      <c r="D120" s="77"/>
      <c r="E120" s="77" t="s">
        <v>30</v>
      </c>
      <c r="F120" s="287" t="s">
        <v>42</v>
      </c>
      <c r="G120" s="79">
        <v>71</v>
      </c>
      <c r="H120" s="178" t="s">
        <v>42</v>
      </c>
      <c r="I120" s="172"/>
      <c r="J120" s="157" t="s">
        <v>43</v>
      </c>
      <c r="K120" s="81">
        <v>0</v>
      </c>
      <c r="L120" s="170" t="s">
        <v>43</v>
      </c>
      <c r="M120" s="172"/>
      <c r="N120" s="83">
        <v>46</v>
      </c>
      <c r="O120" s="157" t="s">
        <v>42</v>
      </c>
      <c r="P120" s="178">
        <v>47</v>
      </c>
      <c r="Q120" s="172"/>
      <c r="R120" s="77">
        <v>0</v>
      </c>
      <c r="S120" s="172" t="s">
        <v>43</v>
      </c>
      <c r="T120" s="170">
        <v>0</v>
      </c>
      <c r="U120" s="179"/>
      <c r="W120" s="146" t="s">
        <v>43</v>
      </c>
      <c r="X120" s="85">
        <f t="shared" si="9"/>
        <v>0</v>
      </c>
      <c r="Y120" s="147" t="s">
        <v>43</v>
      </c>
      <c r="Z120" s="283">
        <f t="shared" si="14"/>
        <v>0</v>
      </c>
      <c r="AA120" s="85">
        <f t="shared" si="12"/>
        <v>0</v>
      </c>
      <c r="AB120" s="147" t="s">
        <v>43</v>
      </c>
      <c r="AC120" s="86">
        <f t="shared" si="12"/>
        <v>0</v>
      </c>
      <c r="AD120" s="284">
        <f t="shared" si="15"/>
        <v>0</v>
      </c>
      <c r="AE120" s="91"/>
      <c r="AF120" s="92"/>
      <c r="AG120" s="91"/>
      <c r="AH120" s="92"/>
      <c r="AI120" s="91"/>
    </row>
    <row r="121" spans="1:53" s="199" customFormat="1" ht="47.25">
      <c r="A121" s="182" t="s">
        <v>62</v>
      </c>
      <c r="B121" s="154" t="s">
        <v>63</v>
      </c>
      <c r="C121" s="17" t="s">
        <v>23</v>
      </c>
      <c r="D121" s="126" t="s">
        <v>24</v>
      </c>
      <c r="E121" s="17" t="s">
        <v>64</v>
      </c>
      <c r="G121" s="188"/>
      <c r="I121" s="188"/>
      <c r="J121" s="192"/>
      <c r="K121" s="188"/>
      <c r="L121" s="188"/>
      <c r="M121" s="288"/>
      <c r="N121" s="188"/>
      <c r="P121" s="188"/>
      <c r="Q121" s="190"/>
      <c r="R121" s="188"/>
      <c r="S121" s="188"/>
      <c r="T121" s="289"/>
      <c r="U121" s="290" t="s">
        <v>34</v>
      </c>
      <c r="V121" s="190"/>
      <c r="W121" s="196"/>
      <c r="X121" s="196"/>
      <c r="Y121" s="191"/>
      <c r="Z121" s="200"/>
      <c r="AA121" s="196"/>
      <c r="AB121" s="191"/>
      <c r="AC121" s="191"/>
      <c r="AD121" s="200"/>
      <c r="AE121" s="203">
        <v>0</v>
      </c>
      <c r="AF121" s="204">
        <v>0</v>
      </c>
      <c r="AG121" s="203">
        <v>1</v>
      </c>
      <c r="AH121" s="204">
        <v>0</v>
      </c>
      <c r="AI121" s="205">
        <v>1</v>
      </c>
      <c r="AJ121" s="289"/>
      <c r="AK121" s="188"/>
      <c r="AL121" s="192"/>
      <c r="AM121" s="188"/>
      <c r="AN121" s="188"/>
      <c r="AO121" s="289"/>
      <c r="AP121" s="188"/>
      <c r="AQ121" s="289"/>
      <c r="AR121" s="188"/>
      <c r="AS121" s="192"/>
      <c r="AT121" s="188"/>
      <c r="AU121" s="188"/>
      <c r="BA121" s="209"/>
    </row>
    <row r="122" spans="1:53" s="199" customFormat="1">
      <c r="A122" s="1"/>
      <c r="B122" s="2">
        <v>20</v>
      </c>
      <c r="C122" s="17" t="s">
        <v>36</v>
      </c>
      <c r="D122" s="17" t="s">
        <v>37</v>
      </c>
      <c r="E122" s="17" t="s">
        <v>64</v>
      </c>
      <c r="G122" s="188"/>
      <c r="I122" s="188"/>
      <c r="J122" s="192"/>
      <c r="K122" s="188"/>
      <c r="L122" s="188"/>
      <c r="M122" s="288"/>
      <c r="N122" s="188"/>
      <c r="P122" s="188"/>
      <c r="Q122" s="190"/>
      <c r="R122" s="188"/>
      <c r="S122" s="188"/>
      <c r="T122" s="289"/>
      <c r="U122" s="290" t="s">
        <v>34</v>
      </c>
      <c r="V122" s="190"/>
      <c r="W122" s="196"/>
      <c r="X122" s="196"/>
      <c r="Y122" s="191"/>
      <c r="Z122" s="200"/>
      <c r="AA122" s="191"/>
      <c r="AC122" s="191"/>
      <c r="AD122" s="200"/>
      <c r="AE122" s="203">
        <v>0</v>
      </c>
      <c r="AF122" s="204">
        <v>0</v>
      </c>
      <c r="AG122" s="203">
        <v>1</v>
      </c>
      <c r="AH122" s="204">
        <v>0</v>
      </c>
      <c r="AI122" s="205">
        <v>1</v>
      </c>
      <c r="AJ122" s="289"/>
      <c r="AK122" s="188"/>
      <c r="AL122" s="192"/>
      <c r="AM122" s="188"/>
      <c r="AN122" s="188"/>
      <c r="AO122" s="289"/>
      <c r="AP122" s="188"/>
      <c r="AQ122" s="289"/>
      <c r="AR122" s="188"/>
      <c r="AS122" s="192"/>
      <c r="AT122" s="188"/>
      <c r="AU122" s="188"/>
      <c r="BA122" s="209"/>
    </row>
    <row r="123" spans="1:53" s="229" customFormat="1" ht="16.5" thickBot="1">
      <c r="A123" s="109"/>
      <c r="B123" s="110">
        <v>24</v>
      </c>
      <c r="C123" s="111" t="s">
        <v>23</v>
      </c>
      <c r="D123" s="213" t="s">
        <v>24</v>
      </c>
      <c r="E123" s="111" t="s">
        <v>51</v>
      </c>
      <c r="G123" s="218"/>
      <c r="I123" s="218"/>
      <c r="J123" s="222"/>
      <c r="K123" s="218"/>
      <c r="L123" s="218"/>
      <c r="M123" s="291"/>
      <c r="N123" s="218"/>
      <c r="P123" s="218"/>
      <c r="Q123" s="220"/>
      <c r="R123" s="218"/>
      <c r="S123" s="218"/>
      <c r="T123" s="292"/>
      <c r="U123" s="293" t="s">
        <v>34</v>
      </c>
      <c r="V123" s="220"/>
      <c r="W123" s="226"/>
      <c r="X123" s="226"/>
      <c r="Y123" s="221"/>
      <c r="Z123" s="294"/>
      <c r="AA123" s="221"/>
      <c r="AC123" s="221"/>
      <c r="AD123" s="295"/>
      <c r="AE123" s="232">
        <v>0</v>
      </c>
      <c r="AF123" s="233">
        <v>1</v>
      </c>
      <c r="AG123" s="232">
        <v>0</v>
      </c>
      <c r="AH123" s="233">
        <v>0</v>
      </c>
      <c r="AI123" s="234">
        <v>1</v>
      </c>
      <c r="AJ123" s="292"/>
      <c r="AK123" s="218"/>
      <c r="AL123" s="222"/>
      <c r="AM123" s="218"/>
      <c r="AN123" s="218"/>
      <c r="AO123" s="292"/>
      <c r="AP123" s="218"/>
      <c r="AQ123" s="292"/>
      <c r="AR123" s="218"/>
      <c r="AS123" s="222"/>
      <c r="AT123" s="218"/>
      <c r="AU123" s="218"/>
      <c r="BA123" s="238"/>
    </row>
    <row r="124" spans="1:53" s="65" customFormat="1" ht="16.5" thickTop="1">
      <c r="A124" s="1" t="s">
        <v>65</v>
      </c>
      <c r="B124" s="2">
        <v>2</v>
      </c>
      <c r="C124" s="17" t="s">
        <v>66</v>
      </c>
      <c r="D124" s="17" t="s">
        <v>66</v>
      </c>
      <c r="E124" s="17" t="s">
        <v>25</v>
      </c>
      <c r="F124" s="65">
        <v>112</v>
      </c>
      <c r="G124" s="93">
        <v>153</v>
      </c>
      <c r="H124" s="94">
        <v>154</v>
      </c>
      <c r="I124" s="95"/>
      <c r="J124" s="96">
        <v>8</v>
      </c>
      <c r="K124" s="95">
        <v>11</v>
      </c>
      <c r="L124" s="93">
        <v>16</v>
      </c>
      <c r="M124" s="95"/>
      <c r="N124" s="97">
        <v>172</v>
      </c>
      <c r="O124" s="96">
        <v>128</v>
      </c>
      <c r="P124" s="94">
        <v>189</v>
      </c>
      <c r="Q124" s="95"/>
      <c r="R124" s="62">
        <v>12</v>
      </c>
      <c r="S124" s="95">
        <v>12</v>
      </c>
      <c r="T124" s="93">
        <v>19</v>
      </c>
      <c r="U124" s="98" t="s">
        <v>26</v>
      </c>
      <c r="V124" s="65" t="s">
        <v>67</v>
      </c>
      <c r="W124" s="61">
        <f t="shared" si="11"/>
        <v>6.6666666666666666E-2</v>
      </c>
      <c r="X124" s="62">
        <f t="shared" si="9"/>
        <v>6.7073170731707321E-2</v>
      </c>
      <c r="Y124" s="63">
        <f t="shared" si="9"/>
        <v>9.4117647058823528E-2</v>
      </c>
      <c r="Z124" s="64">
        <f t="shared" si="14"/>
        <v>7.5952494819065838E-2</v>
      </c>
      <c r="AA124" s="62">
        <f t="shared" si="12"/>
        <v>6.5217391304347824E-2</v>
      </c>
      <c r="AB124" s="65">
        <f t="shared" si="12"/>
        <v>8.5714285714285715E-2</v>
      </c>
      <c r="AC124" s="62">
        <f t="shared" si="12"/>
        <v>9.1346153846153841E-2</v>
      </c>
      <c r="AD124" s="64">
        <f t="shared" si="15"/>
        <v>8.0759276954929127E-2</v>
      </c>
      <c r="AE124" s="99">
        <v>1</v>
      </c>
      <c r="AF124" s="100">
        <v>0</v>
      </c>
      <c r="AG124" s="99">
        <v>0</v>
      </c>
      <c r="AH124" s="100">
        <v>1</v>
      </c>
      <c r="AI124" s="99">
        <v>0</v>
      </c>
    </row>
    <row r="125" spans="1:53" s="65" customFormat="1">
      <c r="A125" s="1"/>
      <c r="B125" s="2"/>
      <c r="C125" s="17"/>
      <c r="D125" s="17"/>
      <c r="E125" s="17" t="s">
        <v>28</v>
      </c>
      <c r="F125" s="65">
        <v>182</v>
      </c>
      <c r="G125" s="93">
        <v>118</v>
      </c>
      <c r="H125" s="94">
        <v>157</v>
      </c>
      <c r="I125" s="95"/>
      <c r="J125" s="96">
        <v>18</v>
      </c>
      <c r="K125" s="95">
        <v>12</v>
      </c>
      <c r="L125" s="93">
        <v>0</v>
      </c>
      <c r="M125" s="95"/>
      <c r="N125" s="97">
        <v>184</v>
      </c>
      <c r="O125" s="96">
        <v>153</v>
      </c>
      <c r="P125" s="94">
        <v>178</v>
      </c>
      <c r="Q125" s="95"/>
      <c r="R125" s="62">
        <v>10</v>
      </c>
      <c r="S125" s="95">
        <v>6</v>
      </c>
      <c r="T125" s="93">
        <v>0</v>
      </c>
      <c r="U125" s="98"/>
      <c r="W125" s="61">
        <f t="shared" si="11"/>
        <v>0.09</v>
      </c>
      <c r="X125" s="62">
        <f t="shared" si="9"/>
        <v>9.2307692307692313E-2</v>
      </c>
      <c r="Y125" s="63">
        <f t="shared" si="9"/>
        <v>0</v>
      </c>
      <c r="Z125" s="64">
        <f t="shared" si="14"/>
        <v>6.076923076923077E-2</v>
      </c>
      <c r="AA125" s="62">
        <f t="shared" si="12"/>
        <v>5.1546391752577317E-2</v>
      </c>
      <c r="AB125" s="65">
        <f t="shared" si="12"/>
        <v>3.7735849056603772E-2</v>
      </c>
      <c r="AC125" s="62">
        <f t="shared" si="12"/>
        <v>0</v>
      </c>
      <c r="AD125" s="64">
        <f t="shared" si="15"/>
        <v>2.97607469363937E-2</v>
      </c>
      <c r="AE125" s="99"/>
      <c r="AF125" s="100"/>
      <c r="AG125" s="99"/>
      <c r="AH125" s="100"/>
      <c r="AI125" s="99"/>
    </row>
    <row r="126" spans="1:53" s="65" customFormat="1">
      <c r="A126" s="1"/>
      <c r="B126" s="2"/>
      <c r="C126" s="17"/>
      <c r="D126" s="17"/>
      <c r="E126" s="17" t="s">
        <v>29</v>
      </c>
      <c r="F126" s="65">
        <v>193</v>
      </c>
      <c r="G126" s="93">
        <v>190</v>
      </c>
      <c r="H126" s="94">
        <v>178</v>
      </c>
      <c r="I126" s="95"/>
      <c r="J126" s="96">
        <v>0</v>
      </c>
      <c r="K126" s="95">
        <v>2</v>
      </c>
      <c r="L126" s="93">
        <v>8</v>
      </c>
      <c r="M126" s="95"/>
      <c r="N126" s="97">
        <v>234</v>
      </c>
      <c r="O126" s="96">
        <v>218</v>
      </c>
      <c r="P126" s="94">
        <v>206</v>
      </c>
      <c r="Q126" s="95"/>
      <c r="R126" s="62">
        <v>24</v>
      </c>
      <c r="S126" s="95">
        <v>18</v>
      </c>
      <c r="T126" s="93">
        <v>12</v>
      </c>
      <c r="U126" s="98"/>
      <c r="W126" s="61">
        <f t="shared" si="11"/>
        <v>0</v>
      </c>
      <c r="X126" s="62">
        <f t="shared" si="9"/>
        <v>1.0416666666666666E-2</v>
      </c>
      <c r="Y126" s="63">
        <f t="shared" si="9"/>
        <v>4.3010752688172046E-2</v>
      </c>
      <c r="Z126" s="64">
        <f t="shared" si="14"/>
        <v>1.7809139784946238E-2</v>
      </c>
      <c r="AA126" s="62">
        <f t="shared" si="12"/>
        <v>9.3023255813953487E-2</v>
      </c>
      <c r="AB126" s="65">
        <f t="shared" si="12"/>
        <v>7.6271186440677971E-2</v>
      </c>
      <c r="AC126" s="62">
        <f t="shared" si="12"/>
        <v>5.5045871559633031E-2</v>
      </c>
      <c r="AD126" s="64">
        <f t="shared" si="15"/>
        <v>7.478010460475483E-2</v>
      </c>
      <c r="AE126" s="99"/>
      <c r="AF126" s="100"/>
      <c r="AG126" s="99"/>
      <c r="AH126" s="100"/>
      <c r="AI126" s="99"/>
    </row>
    <row r="127" spans="1:53" s="89" customFormat="1">
      <c r="A127" s="75"/>
      <c r="B127" s="76"/>
      <c r="C127" s="77"/>
      <c r="D127" s="77"/>
      <c r="E127" s="77" t="s">
        <v>30</v>
      </c>
      <c r="F127" s="89">
        <v>177</v>
      </c>
      <c r="G127" s="101">
        <v>152</v>
      </c>
      <c r="H127" s="102">
        <v>112</v>
      </c>
      <c r="I127" s="103"/>
      <c r="J127" s="104">
        <v>17</v>
      </c>
      <c r="K127" s="103">
        <v>1</v>
      </c>
      <c r="L127" s="101">
        <v>8</v>
      </c>
      <c r="M127" s="103"/>
      <c r="N127" s="105">
        <v>310</v>
      </c>
      <c r="O127" s="104">
        <v>219</v>
      </c>
      <c r="P127" s="102">
        <v>202</v>
      </c>
      <c r="Q127" s="103"/>
      <c r="R127" s="86">
        <v>27</v>
      </c>
      <c r="S127" s="103">
        <v>31</v>
      </c>
      <c r="T127" s="101">
        <v>47</v>
      </c>
      <c r="U127" s="106"/>
      <c r="W127" s="85">
        <f t="shared" si="11"/>
        <v>8.7628865979381437E-2</v>
      </c>
      <c r="X127" s="86">
        <f t="shared" si="9"/>
        <v>6.5359477124183009E-3</v>
      </c>
      <c r="Y127" s="87">
        <f t="shared" si="9"/>
        <v>6.6666666666666666E-2</v>
      </c>
      <c r="Z127" s="283">
        <f t="shared" si="14"/>
        <v>5.3610493452822129E-2</v>
      </c>
      <c r="AA127" s="86">
        <f t="shared" si="12"/>
        <v>8.0118694362017809E-2</v>
      </c>
      <c r="AB127" s="89">
        <f t="shared" si="12"/>
        <v>0.124</v>
      </c>
      <c r="AC127" s="86">
        <f t="shared" si="12"/>
        <v>0.18875502008032127</v>
      </c>
      <c r="AD127" s="425">
        <f t="shared" si="15"/>
        <v>0.13095790481411304</v>
      </c>
      <c r="AE127" s="99"/>
      <c r="AF127" s="108"/>
      <c r="AG127" s="107"/>
      <c r="AH127" s="108"/>
      <c r="AI127" s="107"/>
    </row>
    <row r="128" spans="1:53" s="4" customFormat="1">
      <c r="A128" s="1"/>
      <c r="B128" s="154" t="s">
        <v>68</v>
      </c>
      <c r="C128" s="17" t="s">
        <v>23</v>
      </c>
      <c r="D128" s="126" t="s">
        <v>24</v>
      </c>
      <c r="E128" s="17" t="s">
        <v>25</v>
      </c>
      <c r="F128" s="4">
        <v>43</v>
      </c>
      <c r="G128" s="69">
        <v>52</v>
      </c>
      <c r="H128" s="70">
        <v>76</v>
      </c>
      <c r="I128" s="5"/>
      <c r="J128" s="71">
        <f>(1+3)/2</f>
        <v>2</v>
      </c>
      <c r="K128" s="5">
        <f>(1+3)/2</f>
        <v>2</v>
      </c>
      <c r="L128" s="69">
        <f>(4+2)/2</f>
        <v>3</v>
      </c>
      <c r="M128" s="5"/>
      <c r="N128" s="72">
        <v>67</v>
      </c>
      <c r="O128" s="71">
        <v>45</v>
      </c>
      <c r="P128" s="70">
        <v>49</v>
      </c>
      <c r="Q128" s="5"/>
      <c r="R128" s="17">
        <f>(1+2)/2</f>
        <v>1.5</v>
      </c>
      <c r="S128" s="5">
        <f>(1+2)/2</f>
        <v>1.5</v>
      </c>
      <c r="T128" s="69">
        <f>(1+2)/2</f>
        <v>1.5</v>
      </c>
      <c r="U128" s="73" t="s">
        <v>34</v>
      </c>
      <c r="V128" s="4" t="s">
        <v>35</v>
      </c>
      <c r="W128" s="61">
        <f t="shared" si="11"/>
        <v>4.4444444444444446E-2</v>
      </c>
      <c r="X128" s="62">
        <f t="shared" si="9"/>
        <v>3.7037037037037035E-2</v>
      </c>
      <c r="Y128" s="63">
        <f t="shared" si="9"/>
        <v>3.7974683544303799E-2</v>
      </c>
      <c r="Z128" s="64">
        <f t="shared" si="14"/>
        <v>3.9818721675261765E-2</v>
      </c>
      <c r="AA128" s="62">
        <f t="shared" si="12"/>
        <v>2.1897810218978103E-2</v>
      </c>
      <c r="AB128" s="65">
        <f t="shared" si="12"/>
        <v>3.2258064516129031E-2</v>
      </c>
      <c r="AC128" s="62">
        <f t="shared" si="12"/>
        <v>2.9702970297029702E-2</v>
      </c>
      <c r="AD128" s="64">
        <f t="shared" si="15"/>
        <v>2.7952948344045613E-2</v>
      </c>
      <c r="AE128" s="74">
        <v>1</v>
      </c>
      <c r="AF128" s="14">
        <v>0</v>
      </c>
      <c r="AG128" s="74">
        <v>0</v>
      </c>
      <c r="AH128" s="14">
        <v>1</v>
      </c>
      <c r="AI128" s="74">
        <v>0</v>
      </c>
    </row>
    <row r="129" spans="1:53" s="4" customFormat="1">
      <c r="A129" s="1"/>
      <c r="B129" s="2"/>
      <c r="C129" s="17"/>
      <c r="D129" s="17"/>
      <c r="E129" s="17" t="s">
        <v>28</v>
      </c>
      <c r="F129" s="4">
        <v>55</v>
      </c>
      <c r="G129" s="69">
        <v>45</v>
      </c>
      <c r="H129" s="70">
        <v>48</v>
      </c>
      <c r="I129" s="5"/>
      <c r="J129" s="71">
        <f>(5+0)/2</f>
        <v>2.5</v>
      </c>
      <c r="K129" s="5">
        <f>(1+1)/2</f>
        <v>1</v>
      </c>
      <c r="L129" s="69">
        <f>(1+1)/2</f>
        <v>1</v>
      </c>
      <c r="M129" s="5"/>
      <c r="N129" s="72">
        <v>67</v>
      </c>
      <c r="O129" s="71">
        <v>43</v>
      </c>
      <c r="P129" s="70">
        <v>65</v>
      </c>
      <c r="Q129" s="5"/>
      <c r="R129" s="17">
        <f>(2+1)/2</f>
        <v>1.5</v>
      </c>
      <c r="S129" s="5">
        <f>(1+3)/2</f>
        <v>2</v>
      </c>
      <c r="T129" s="69">
        <f>(1+5)/2</f>
        <v>3</v>
      </c>
      <c r="U129" s="73"/>
      <c r="W129" s="61">
        <f t="shared" si="11"/>
        <v>4.3478260869565216E-2</v>
      </c>
      <c r="X129" s="62">
        <f t="shared" si="9"/>
        <v>2.1739130434782608E-2</v>
      </c>
      <c r="Y129" s="63">
        <f t="shared" si="9"/>
        <v>2.0408163265306121E-2</v>
      </c>
      <c r="Z129" s="64">
        <f t="shared" si="14"/>
        <v>2.8541851523217979E-2</v>
      </c>
      <c r="AA129" s="62">
        <f t="shared" si="12"/>
        <v>2.1897810218978103E-2</v>
      </c>
      <c r="AB129" s="65">
        <f t="shared" si="12"/>
        <v>4.4444444444444446E-2</v>
      </c>
      <c r="AC129" s="62">
        <f t="shared" si="12"/>
        <v>4.4117647058823532E-2</v>
      </c>
      <c r="AD129" s="64">
        <f t="shared" si="15"/>
        <v>3.6819967240748701E-2</v>
      </c>
      <c r="AE129" s="74"/>
      <c r="AF129" s="14"/>
      <c r="AG129" s="74"/>
      <c r="AH129" s="14"/>
      <c r="AI129" s="74"/>
    </row>
    <row r="130" spans="1:53" s="4" customFormat="1">
      <c r="A130" s="1"/>
      <c r="B130" s="2"/>
      <c r="C130" s="17"/>
      <c r="D130" s="17"/>
      <c r="E130" s="17" t="s">
        <v>29</v>
      </c>
      <c r="F130" s="4">
        <v>64</v>
      </c>
      <c r="G130" s="69">
        <v>48</v>
      </c>
      <c r="H130" s="70">
        <v>48</v>
      </c>
      <c r="I130" s="5"/>
      <c r="J130" s="71">
        <f>(2+3)/2</f>
        <v>2.5</v>
      </c>
      <c r="K130" s="5">
        <f>(1+3)/2</f>
        <v>2</v>
      </c>
      <c r="L130" s="69">
        <f>(1+0)/2</f>
        <v>0.5</v>
      </c>
      <c r="M130" s="5"/>
      <c r="N130" s="72">
        <v>65</v>
      </c>
      <c r="O130" s="71">
        <v>67</v>
      </c>
      <c r="P130" s="70">
        <v>42</v>
      </c>
      <c r="Q130" s="5"/>
      <c r="R130" s="17">
        <f>(1+5)/2</f>
        <v>3</v>
      </c>
      <c r="S130" s="5">
        <f>(4+0)/2</f>
        <v>2</v>
      </c>
      <c r="T130" s="69">
        <f>(1+2)/2</f>
        <v>1.5</v>
      </c>
      <c r="U130" s="73"/>
      <c r="W130" s="61">
        <f t="shared" si="11"/>
        <v>3.7593984962406013E-2</v>
      </c>
      <c r="X130" s="62">
        <f t="shared" si="9"/>
        <v>0.04</v>
      </c>
      <c r="Y130" s="63">
        <f t="shared" si="9"/>
        <v>1.0309278350515464E-2</v>
      </c>
      <c r="Z130" s="64">
        <f t="shared" si="14"/>
        <v>2.930108777097383E-2</v>
      </c>
      <c r="AA130" s="62">
        <f t="shared" si="12"/>
        <v>4.4117647058823532E-2</v>
      </c>
      <c r="AB130" s="65">
        <f t="shared" si="12"/>
        <v>2.8985507246376812E-2</v>
      </c>
      <c r="AC130" s="62">
        <f t="shared" si="12"/>
        <v>3.4482758620689655E-2</v>
      </c>
      <c r="AD130" s="64">
        <f t="shared" si="15"/>
        <v>3.5861970975296663E-2</v>
      </c>
      <c r="AE130" s="74"/>
      <c r="AF130" s="14"/>
      <c r="AG130" s="74"/>
      <c r="AH130" s="14"/>
      <c r="AI130" s="74"/>
    </row>
    <row r="131" spans="1:53" s="78" customFormat="1">
      <c r="A131" s="75"/>
      <c r="B131" s="76"/>
      <c r="C131" s="77"/>
      <c r="D131" s="77"/>
      <c r="E131" s="77" t="s">
        <v>30</v>
      </c>
      <c r="F131" s="78">
        <v>73</v>
      </c>
      <c r="G131" s="79">
        <v>52</v>
      </c>
      <c r="H131" s="80">
        <v>39</v>
      </c>
      <c r="I131" s="81"/>
      <c r="J131" s="82">
        <f>(2+0)/2</f>
        <v>1</v>
      </c>
      <c r="K131" s="81">
        <f>(2+2)/2</f>
        <v>2</v>
      </c>
      <c r="L131" s="79">
        <f>(1+3)/2</f>
        <v>2</v>
      </c>
      <c r="M131" s="81"/>
      <c r="N131" s="83">
        <v>87</v>
      </c>
      <c r="O131" s="82">
        <v>60</v>
      </c>
      <c r="P131" s="80">
        <v>78</v>
      </c>
      <c r="Q131" s="81"/>
      <c r="R131" s="77">
        <f>(3+8)/2</f>
        <v>5.5</v>
      </c>
      <c r="S131" s="81">
        <f>(1+6)/2</f>
        <v>3.5</v>
      </c>
      <c r="T131" s="79">
        <f>(2+2)/2</f>
        <v>2</v>
      </c>
      <c r="U131" s="84"/>
      <c r="W131" s="85">
        <f t="shared" si="11"/>
        <v>1.3513513513513514E-2</v>
      </c>
      <c r="X131" s="86">
        <f t="shared" si="9"/>
        <v>3.7037037037037035E-2</v>
      </c>
      <c r="Y131" s="87">
        <f t="shared" si="9"/>
        <v>4.878048780487805E-2</v>
      </c>
      <c r="Z131" s="283">
        <f t="shared" si="14"/>
        <v>3.31103461184762E-2</v>
      </c>
      <c r="AA131" s="86">
        <f t="shared" si="12"/>
        <v>5.9459459459459463E-2</v>
      </c>
      <c r="AB131" s="89">
        <f t="shared" si="12"/>
        <v>5.5118110236220472E-2</v>
      </c>
      <c r="AC131" s="86">
        <f t="shared" si="12"/>
        <v>2.5000000000000001E-2</v>
      </c>
      <c r="AD131" s="425">
        <f t="shared" si="15"/>
        <v>4.6525856565226648E-2</v>
      </c>
      <c r="AE131" s="91"/>
      <c r="AF131" s="92"/>
      <c r="AG131" s="91"/>
      <c r="AH131" s="92"/>
      <c r="AI131" s="91"/>
    </row>
    <row r="132" spans="1:53" s="199" customFormat="1" ht="47.25">
      <c r="A132" s="182" t="s">
        <v>69</v>
      </c>
      <c r="B132" s="260" t="s">
        <v>63</v>
      </c>
      <c r="C132" s="17" t="s">
        <v>23</v>
      </c>
      <c r="D132" s="126" t="s">
        <v>24</v>
      </c>
      <c r="E132" s="17" t="s">
        <v>53</v>
      </c>
      <c r="G132" s="188"/>
      <c r="I132" s="188"/>
      <c r="J132" s="192"/>
      <c r="K132" s="190"/>
      <c r="L132" s="188"/>
      <c r="M132" s="288"/>
      <c r="N132" s="188"/>
      <c r="P132" s="188"/>
      <c r="Q132" s="190"/>
      <c r="R132" s="188"/>
      <c r="S132" s="192"/>
      <c r="T132" s="289"/>
      <c r="U132" s="290" t="s">
        <v>34</v>
      </c>
      <c r="V132" s="190"/>
      <c r="W132" s="196"/>
      <c r="X132" s="191"/>
      <c r="Y132" s="197"/>
      <c r="Z132" s="200"/>
      <c r="AA132" s="191"/>
      <c r="AC132" s="191"/>
      <c r="AD132" s="296"/>
      <c r="AE132" s="203">
        <v>0</v>
      </c>
      <c r="AF132" s="204">
        <v>1</v>
      </c>
      <c r="AG132" s="203">
        <v>0</v>
      </c>
      <c r="AH132" s="204">
        <v>0</v>
      </c>
      <c r="AI132" s="205">
        <v>1</v>
      </c>
      <c r="AJ132" s="289"/>
      <c r="AK132" s="188"/>
      <c r="AL132" s="192"/>
      <c r="AM132" s="188"/>
      <c r="AN132" s="192"/>
      <c r="AO132" s="289"/>
      <c r="AP132" s="188"/>
      <c r="AQ132" s="289"/>
      <c r="AR132" s="188"/>
      <c r="AS132" s="192"/>
      <c r="AT132" s="190"/>
      <c r="AU132" s="188"/>
      <c r="BA132" s="209"/>
    </row>
    <row r="133" spans="1:53" s="229" customFormat="1" ht="16.5" thickBot="1">
      <c r="A133" s="109"/>
      <c r="B133" s="110">
        <v>8</v>
      </c>
      <c r="C133" s="111" t="s">
        <v>31</v>
      </c>
      <c r="D133" s="111" t="s">
        <v>32</v>
      </c>
      <c r="E133" s="111" t="s">
        <v>50</v>
      </c>
      <c r="G133" s="218"/>
      <c r="I133" s="218"/>
      <c r="J133" s="222"/>
      <c r="K133" s="220"/>
      <c r="L133" s="218"/>
      <c r="M133" s="291"/>
      <c r="N133" s="218"/>
      <c r="P133" s="218"/>
      <c r="Q133" s="220"/>
      <c r="R133" s="218"/>
      <c r="S133" s="222"/>
      <c r="T133" s="292"/>
      <c r="U133" s="293" t="s">
        <v>34</v>
      </c>
      <c r="V133" s="220"/>
      <c r="W133" s="226"/>
      <c r="X133" s="221"/>
      <c r="Y133" s="227"/>
      <c r="Z133" s="297"/>
      <c r="AA133" s="221"/>
      <c r="AC133" s="221"/>
      <c r="AD133" s="298"/>
      <c r="AE133" s="232">
        <v>0</v>
      </c>
      <c r="AF133" s="233">
        <v>0</v>
      </c>
      <c r="AG133" s="232">
        <v>1</v>
      </c>
      <c r="AH133" s="233">
        <v>0</v>
      </c>
      <c r="AI133" s="234">
        <v>1</v>
      </c>
      <c r="AJ133" s="292"/>
      <c r="AK133" s="218"/>
      <c r="AL133" s="222"/>
      <c r="AM133" s="218"/>
      <c r="AN133" s="222"/>
      <c r="AO133" s="292"/>
      <c r="AP133" s="218"/>
      <c r="AQ133" s="292"/>
      <c r="AR133" s="218"/>
      <c r="AS133" s="222"/>
      <c r="AT133" s="220"/>
      <c r="AU133" s="218"/>
      <c r="BA133" s="238"/>
    </row>
    <row r="134" spans="1:53" s="4" customFormat="1" ht="16.5" thickTop="1">
      <c r="A134" s="1" t="s">
        <v>70</v>
      </c>
      <c r="B134" s="2">
        <v>3</v>
      </c>
      <c r="C134" s="17" t="s">
        <v>23</v>
      </c>
      <c r="D134" s="126" t="s">
        <v>24</v>
      </c>
      <c r="E134" s="17" t="s">
        <v>25</v>
      </c>
      <c r="F134" s="4">
        <f>(53+29)/2</f>
        <v>41</v>
      </c>
      <c r="G134" s="69">
        <f>(66+27)/2</f>
        <v>46.5</v>
      </c>
      <c r="H134" s="70">
        <f>(75+35)/2</f>
        <v>55</v>
      </c>
      <c r="I134" s="5"/>
      <c r="J134" s="71">
        <v>4</v>
      </c>
      <c r="K134" s="5">
        <v>3</v>
      </c>
      <c r="L134" s="69">
        <v>10</v>
      </c>
      <c r="M134" s="5"/>
      <c r="N134" s="299">
        <f>(58+36)/2</f>
        <v>47</v>
      </c>
      <c r="O134" s="71">
        <f>(61+17)/2</f>
        <v>39</v>
      </c>
      <c r="P134" s="70">
        <f>(66+40)/2</f>
        <v>53</v>
      </c>
      <c r="Q134" s="5"/>
      <c r="R134" s="300">
        <v>4</v>
      </c>
      <c r="S134" s="5">
        <v>1</v>
      </c>
      <c r="T134" s="69">
        <v>4</v>
      </c>
      <c r="U134" s="73" t="s">
        <v>26</v>
      </c>
      <c r="V134" s="4" t="s">
        <v>71</v>
      </c>
      <c r="W134" s="61">
        <f t="shared" ref="W134:Y195" si="16">J134/(F134+J134)</f>
        <v>8.8888888888888892E-2</v>
      </c>
      <c r="X134" s="62">
        <f t="shared" si="16"/>
        <v>6.0606060606060608E-2</v>
      </c>
      <c r="Y134" s="63">
        <f t="shared" si="16"/>
        <v>0.15384615384615385</v>
      </c>
      <c r="Z134" s="64">
        <f t="shared" si="14"/>
        <v>0.10111370111370112</v>
      </c>
      <c r="AA134" s="62">
        <f t="shared" ref="AA134:AC197" si="17">R134/(N134+R134)</f>
        <v>7.8431372549019607E-2</v>
      </c>
      <c r="AB134" s="65">
        <f t="shared" si="17"/>
        <v>2.5000000000000001E-2</v>
      </c>
      <c r="AC134" s="62">
        <f t="shared" si="17"/>
        <v>7.0175438596491224E-2</v>
      </c>
      <c r="AD134" s="66">
        <f>AVERAGE(AA134:AC134)</f>
        <v>5.7868937048503606E-2</v>
      </c>
      <c r="AE134" s="74">
        <v>1</v>
      </c>
      <c r="AF134" s="14">
        <v>0</v>
      </c>
      <c r="AG134" s="74">
        <v>0</v>
      </c>
      <c r="AH134" s="14">
        <v>1</v>
      </c>
      <c r="AI134" s="74">
        <v>0</v>
      </c>
    </row>
    <row r="135" spans="1:53" s="4" customFormat="1">
      <c r="A135" s="1"/>
      <c r="B135" s="2"/>
      <c r="C135" s="17"/>
      <c r="D135" s="17"/>
      <c r="E135" s="17" t="s">
        <v>28</v>
      </c>
      <c r="F135" s="4">
        <f>(53+32)/2</f>
        <v>42.5</v>
      </c>
      <c r="G135" s="69">
        <f>(58+39)/2</f>
        <v>48.5</v>
      </c>
      <c r="H135" s="70">
        <f>(49+36)/2</f>
        <v>42.5</v>
      </c>
      <c r="I135" s="5"/>
      <c r="J135" s="71">
        <v>3</v>
      </c>
      <c r="K135" s="5">
        <v>3</v>
      </c>
      <c r="L135" s="69">
        <v>4</v>
      </c>
      <c r="M135" s="5"/>
      <c r="N135" s="299">
        <f>(77+33)/2</f>
        <v>55</v>
      </c>
      <c r="O135" s="71">
        <f>(78+29)/2</f>
        <v>53.5</v>
      </c>
      <c r="P135" s="70">
        <f>(56+23)/2</f>
        <v>39.5</v>
      </c>
      <c r="Q135" s="5"/>
      <c r="R135" s="300">
        <v>8</v>
      </c>
      <c r="S135" s="5">
        <v>5</v>
      </c>
      <c r="T135" s="69">
        <v>4</v>
      </c>
      <c r="U135" s="73"/>
      <c r="W135" s="61">
        <f t="shared" si="16"/>
        <v>6.5934065934065936E-2</v>
      </c>
      <c r="X135" s="62">
        <f t="shared" si="16"/>
        <v>5.8252427184466021E-2</v>
      </c>
      <c r="Y135" s="63">
        <f t="shared" si="16"/>
        <v>8.6021505376344093E-2</v>
      </c>
      <c r="Z135" s="64">
        <f t="shared" si="14"/>
        <v>7.006933283162535E-2</v>
      </c>
      <c r="AA135" s="62">
        <f t="shared" si="17"/>
        <v>0.12698412698412698</v>
      </c>
      <c r="AB135" s="65">
        <f t="shared" si="17"/>
        <v>8.5470085470085472E-2</v>
      </c>
      <c r="AC135" s="62">
        <f t="shared" si="17"/>
        <v>9.1954022988505746E-2</v>
      </c>
      <c r="AD135" s="66">
        <f t="shared" ref="AD135:AD198" si="18">AVERAGE(AA135:AC135)</f>
        <v>0.10146941181423941</v>
      </c>
      <c r="AE135" s="74"/>
      <c r="AF135" s="14"/>
      <c r="AG135" s="74"/>
      <c r="AH135" s="14"/>
      <c r="AI135" s="74"/>
    </row>
    <row r="136" spans="1:53" s="4" customFormat="1">
      <c r="A136" s="1"/>
      <c r="B136" s="2"/>
      <c r="C136" s="17"/>
      <c r="D136" s="17"/>
      <c r="E136" s="17" t="s">
        <v>29</v>
      </c>
      <c r="F136" s="4">
        <f>(82+28)/2</f>
        <v>55</v>
      </c>
      <c r="G136" s="69">
        <f>(125+41)/2</f>
        <v>83</v>
      </c>
      <c r="H136" s="70">
        <f>(86+31)/2</f>
        <v>58.5</v>
      </c>
      <c r="I136" s="5"/>
      <c r="J136" s="71">
        <v>7</v>
      </c>
      <c r="K136" s="5">
        <v>8</v>
      </c>
      <c r="L136" s="69">
        <v>4</v>
      </c>
      <c r="M136" s="5"/>
      <c r="N136" s="299">
        <f>(85+54)/2</f>
        <v>69.5</v>
      </c>
      <c r="O136" s="69">
        <f>(61+42)/2</f>
        <v>51.5</v>
      </c>
      <c r="P136" s="70">
        <f>(68+32)/2</f>
        <v>50</v>
      </c>
      <c r="Q136" s="301"/>
      <c r="R136" s="300">
        <v>3</v>
      </c>
      <c r="S136" s="5">
        <v>2</v>
      </c>
      <c r="T136" s="69">
        <v>4</v>
      </c>
      <c r="U136" s="73"/>
      <c r="W136" s="61">
        <f t="shared" si="16"/>
        <v>0.11290322580645161</v>
      </c>
      <c r="X136" s="62">
        <f t="shared" si="16"/>
        <v>8.7912087912087919E-2</v>
      </c>
      <c r="Y136" s="63">
        <f t="shared" si="16"/>
        <v>6.4000000000000001E-2</v>
      </c>
      <c r="Z136" s="64">
        <f t="shared" si="14"/>
        <v>8.8271771239513172E-2</v>
      </c>
      <c r="AA136" s="62">
        <f t="shared" si="17"/>
        <v>4.1379310344827586E-2</v>
      </c>
      <c r="AB136" s="65">
        <f t="shared" si="17"/>
        <v>3.7383177570093455E-2</v>
      </c>
      <c r="AC136" s="62">
        <f t="shared" si="17"/>
        <v>7.407407407407407E-2</v>
      </c>
      <c r="AD136" s="66">
        <f t="shared" si="18"/>
        <v>5.0945520662998373E-2</v>
      </c>
      <c r="AE136" s="74"/>
      <c r="AF136" s="14"/>
      <c r="AG136" s="74"/>
      <c r="AH136" s="14"/>
      <c r="AI136" s="74"/>
    </row>
    <row r="137" spans="1:53" s="78" customFormat="1">
      <c r="A137" s="75"/>
      <c r="B137" s="76"/>
      <c r="C137" s="77"/>
      <c r="D137" s="77"/>
      <c r="E137" s="77" t="s">
        <v>30</v>
      </c>
      <c r="F137" s="78">
        <f>(38+66)/2</f>
        <v>52</v>
      </c>
      <c r="G137" s="79">
        <f>(78+35)/2</f>
        <v>56.5</v>
      </c>
      <c r="H137" s="80">
        <f>(61+25)/2</f>
        <v>43</v>
      </c>
      <c r="I137" s="81"/>
      <c r="J137" s="82">
        <v>4</v>
      </c>
      <c r="K137" s="81">
        <v>5</v>
      </c>
      <c r="L137" s="79">
        <v>4</v>
      </c>
      <c r="M137" s="81"/>
      <c r="N137" s="302">
        <f>(92+39)/2</f>
        <v>65.5</v>
      </c>
      <c r="O137" s="79">
        <f>(78+24)/2</f>
        <v>51</v>
      </c>
      <c r="P137" s="80">
        <f>(74+22)/2</f>
        <v>48</v>
      </c>
      <c r="Q137" s="303"/>
      <c r="R137" s="304">
        <v>5</v>
      </c>
      <c r="S137" s="81">
        <v>6</v>
      </c>
      <c r="T137" s="79">
        <v>8</v>
      </c>
      <c r="U137" s="84"/>
      <c r="W137" s="85">
        <f t="shared" si="16"/>
        <v>7.1428571428571425E-2</v>
      </c>
      <c r="X137" s="86">
        <f t="shared" si="16"/>
        <v>8.1300813008130079E-2</v>
      </c>
      <c r="Y137" s="87">
        <f t="shared" si="16"/>
        <v>8.5106382978723402E-2</v>
      </c>
      <c r="Z137" s="283">
        <f t="shared" si="14"/>
        <v>7.9278589138474964E-2</v>
      </c>
      <c r="AA137" s="86">
        <f t="shared" si="17"/>
        <v>7.0921985815602842E-2</v>
      </c>
      <c r="AB137" s="89">
        <f t="shared" si="17"/>
        <v>0.10526315789473684</v>
      </c>
      <c r="AC137" s="86">
        <f t="shared" si="17"/>
        <v>0.14285714285714285</v>
      </c>
      <c r="AD137" s="284">
        <f t="shared" si="18"/>
        <v>0.1063474288558275</v>
      </c>
      <c r="AE137" s="91"/>
      <c r="AF137" s="92"/>
      <c r="AG137" s="91"/>
      <c r="AH137" s="92"/>
      <c r="AI137" s="91"/>
    </row>
    <row r="138" spans="1:53" s="65" customFormat="1">
      <c r="A138" s="1"/>
      <c r="B138" s="260" t="s">
        <v>72</v>
      </c>
      <c r="C138" s="17" t="s">
        <v>23</v>
      </c>
      <c r="D138" s="126" t="s">
        <v>24</v>
      </c>
      <c r="E138" s="17" t="s">
        <v>25</v>
      </c>
      <c r="F138" s="65">
        <f>(53+29+28+42)/4</f>
        <v>38</v>
      </c>
      <c r="G138" s="93">
        <f>(66+27+48+38)/4</f>
        <v>44.75</v>
      </c>
      <c r="H138" s="94">
        <f>(75+35+46+46)/4</f>
        <v>50.5</v>
      </c>
      <c r="I138" s="95"/>
      <c r="J138" s="96">
        <v>3</v>
      </c>
      <c r="K138" s="95">
        <v>2</v>
      </c>
      <c r="L138" s="93">
        <v>6</v>
      </c>
      <c r="M138" s="95"/>
      <c r="N138" s="299">
        <f>(58+36+30+52)/4</f>
        <v>44</v>
      </c>
      <c r="O138" s="71">
        <f>(61+17+37+35)/4</f>
        <v>37.5</v>
      </c>
      <c r="P138" s="70">
        <f>(66+40+39+49)/4</f>
        <v>48.5</v>
      </c>
      <c r="Q138" s="40"/>
      <c r="R138" s="305">
        <v>2</v>
      </c>
      <c r="S138" s="95">
        <v>0</v>
      </c>
      <c r="T138" s="93">
        <v>3</v>
      </c>
      <c r="U138" s="98" t="s">
        <v>34</v>
      </c>
      <c r="V138" s="4" t="s">
        <v>35</v>
      </c>
      <c r="W138" s="61">
        <f t="shared" si="16"/>
        <v>7.3170731707317069E-2</v>
      </c>
      <c r="X138" s="62">
        <f t="shared" si="16"/>
        <v>4.2780748663101602E-2</v>
      </c>
      <c r="Y138" s="63">
        <f t="shared" si="16"/>
        <v>0.10619469026548672</v>
      </c>
      <c r="Z138" s="64">
        <f t="shared" si="14"/>
        <v>7.4048723545301801E-2</v>
      </c>
      <c r="AA138" s="62">
        <f t="shared" si="17"/>
        <v>4.3478260869565216E-2</v>
      </c>
      <c r="AB138" s="65">
        <f t="shared" si="17"/>
        <v>0</v>
      </c>
      <c r="AC138" s="62">
        <f t="shared" si="17"/>
        <v>5.8252427184466021E-2</v>
      </c>
      <c r="AD138" s="66">
        <f t="shared" si="18"/>
        <v>3.3910229351343746E-2</v>
      </c>
      <c r="AE138" s="99">
        <v>1</v>
      </c>
      <c r="AF138" s="100">
        <v>0</v>
      </c>
      <c r="AG138" s="99">
        <v>0</v>
      </c>
      <c r="AH138" s="100">
        <v>1</v>
      </c>
      <c r="AI138" s="99">
        <v>0</v>
      </c>
    </row>
    <row r="139" spans="1:53" s="65" customFormat="1">
      <c r="A139" s="1"/>
      <c r="B139" s="2"/>
      <c r="C139" s="17"/>
      <c r="D139" s="17"/>
      <c r="E139" s="17" t="s">
        <v>28</v>
      </c>
      <c r="F139" s="65">
        <f>(53+32+41+52)/4</f>
        <v>44.5</v>
      </c>
      <c r="G139" s="93">
        <f>(58+39+35+72)/4</f>
        <v>51</v>
      </c>
      <c r="H139" s="94">
        <f>(49+36+32+54)/4</f>
        <v>42.75</v>
      </c>
      <c r="I139" s="95"/>
      <c r="J139" s="96">
        <v>1</v>
      </c>
      <c r="K139" s="95">
        <v>2</v>
      </c>
      <c r="L139" s="93">
        <v>1</v>
      </c>
      <c r="M139" s="95"/>
      <c r="N139" s="299">
        <f>(77+33+27+39)/4</f>
        <v>44</v>
      </c>
      <c r="O139" s="71">
        <f>(78+29+23+48)/4</f>
        <v>44.5</v>
      </c>
      <c r="P139" s="70">
        <f>(56+23+28+42)/4</f>
        <v>37.25</v>
      </c>
      <c r="Q139" s="40"/>
      <c r="R139" s="305">
        <v>4</v>
      </c>
      <c r="S139" s="95">
        <v>2</v>
      </c>
      <c r="T139" s="93">
        <v>2</v>
      </c>
      <c r="U139" s="98"/>
      <c r="W139" s="61">
        <f t="shared" si="16"/>
        <v>2.197802197802198E-2</v>
      </c>
      <c r="X139" s="62">
        <f t="shared" si="16"/>
        <v>3.7735849056603772E-2</v>
      </c>
      <c r="Y139" s="63">
        <f t="shared" si="16"/>
        <v>2.2857142857142857E-2</v>
      </c>
      <c r="Z139" s="64">
        <f t="shared" si="14"/>
        <v>2.7523671297256202E-2</v>
      </c>
      <c r="AA139" s="62">
        <f t="shared" si="17"/>
        <v>8.3333333333333329E-2</v>
      </c>
      <c r="AB139" s="65">
        <f t="shared" si="17"/>
        <v>4.3010752688172046E-2</v>
      </c>
      <c r="AC139" s="62">
        <f t="shared" si="17"/>
        <v>5.0955414012738856E-2</v>
      </c>
      <c r="AD139" s="66">
        <f t="shared" si="18"/>
        <v>5.9099833344748075E-2</v>
      </c>
      <c r="AE139" s="99"/>
      <c r="AF139" s="100"/>
      <c r="AG139" s="99"/>
      <c r="AH139" s="100"/>
      <c r="AI139" s="99"/>
    </row>
    <row r="140" spans="1:53" s="65" customFormat="1">
      <c r="A140" s="1"/>
      <c r="B140" s="2"/>
      <c r="C140" s="17"/>
      <c r="D140" s="17"/>
      <c r="E140" s="17" t="s">
        <v>29</v>
      </c>
      <c r="F140" s="65">
        <f>(82+28+23+41)/4</f>
        <v>43.5</v>
      </c>
      <c r="G140" s="93">
        <f>(125+41+36+62)/4</f>
        <v>66</v>
      </c>
      <c r="H140" s="94">
        <f>(86+31+37+52)/4</f>
        <v>51.5</v>
      </c>
      <c r="I140" s="95"/>
      <c r="J140" s="96">
        <v>4</v>
      </c>
      <c r="K140" s="95">
        <v>5</v>
      </c>
      <c r="L140" s="93">
        <v>4</v>
      </c>
      <c r="M140" s="95"/>
      <c r="N140" s="299">
        <f>(85+54+72+68)/4</f>
        <v>69.75</v>
      </c>
      <c r="O140" s="69">
        <f>(61+42+36+58)/4</f>
        <v>49.25</v>
      </c>
      <c r="P140" s="70">
        <f>(68+32+39+51)/4</f>
        <v>47.5</v>
      </c>
      <c r="Q140" s="40"/>
      <c r="R140" s="305">
        <v>3</v>
      </c>
      <c r="S140" s="95">
        <v>2</v>
      </c>
      <c r="T140" s="93">
        <v>3</v>
      </c>
      <c r="U140" s="98"/>
      <c r="W140" s="61">
        <f t="shared" si="16"/>
        <v>8.4210526315789472E-2</v>
      </c>
      <c r="X140" s="62">
        <f t="shared" si="16"/>
        <v>7.0422535211267609E-2</v>
      </c>
      <c r="Y140" s="63">
        <f t="shared" si="16"/>
        <v>7.2072072072072071E-2</v>
      </c>
      <c r="Z140" s="64">
        <f t="shared" si="14"/>
        <v>7.5568377866376379E-2</v>
      </c>
      <c r="AA140" s="62">
        <f t="shared" si="17"/>
        <v>4.1237113402061855E-2</v>
      </c>
      <c r="AB140" s="65">
        <f t="shared" si="17"/>
        <v>3.9024390243902439E-2</v>
      </c>
      <c r="AC140" s="62">
        <f t="shared" si="17"/>
        <v>5.9405940594059403E-2</v>
      </c>
      <c r="AD140" s="66">
        <f t="shared" si="18"/>
        <v>4.6555814746674563E-2</v>
      </c>
      <c r="AE140" s="99"/>
      <c r="AF140" s="100"/>
      <c r="AG140" s="99"/>
      <c r="AH140" s="100"/>
      <c r="AI140" s="99"/>
    </row>
    <row r="141" spans="1:53" s="89" customFormat="1">
      <c r="A141" s="75"/>
      <c r="B141" s="76"/>
      <c r="C141" s="77"/>
      <c r="D141" s="77"/>
      <c r="E141" s="77" t="s">
        <v>30</v>
      </c>
      <c r="F141" s="89">
        <f>(38+66+22+47)/4</f>
        <v>43.25</v>
      </c>
      <c r="G141" s="101">
        <f>(78+35+30+51)/4</f>
        <v>48.5</v>
      </c>
      <c r="H141" s="102">
        <f>(61+25+24+33)/4</f>
        <v>35.75</v>
      </c>
      <c r="I141" s="103"/>
      <c r="J141" s="104">
        <v>3</v>
      </c>
      <c r="K141" s="103">
        <v>3</v>
      </c>
      <c r="L141" s="101">
        <v>1</v>
      </c>
      <c r="M141" s="103"/>
      <c r="N141" s="302">
        <f>(92+39+49+58)/4</f>
        <v>59.5</v>
      </c>
      <c r="O141" s="79">
        <f>(78+24+28+44)/4</f>
        <v>43.5</v>
      </c>
      <c r="P141" s="80">
        <f>(74+22+26+42)/4</f>
        <v>41</v>
      </c>
      <c r="Q141" s="103"/>
      <c r="R141" s="306">
        <v>1</v>
      </c>
      <c r="S141" s="103">
        <v>4</v>
      </c>
      <c r="T141" s="101">
        <v>6</v>
      </c>
      <c r="U141" s="106"/>
      <c r="W141" s="85">
        <f t="shared" si="16"/>
        <v>6.4864864864864868E-2</v>
      </c>
      <c r="X141" s="86">
        <f t="shared" si="16"/>
        <v>5.8252427184466021E-2</v>
      </c>
      <c r="Y141" s="87">
        <f t="shared" si="16"/>
        <v>2.7210884353741496E-2</v>
      </c>
      <c r="Z141" s="283">
        <f t="shared" si="14"/>
        <v>5.0109392134357465E-2</v>
      </c>
      <c r="AA141" s="86">
        <f t="shared" si="17"/>
        <v>1.6528925619834711E-2</v>
      </c>
      <c r="AB141" s="89">
        <f t="shared" si="17"/>
        <v>8.4210526315789472E-2</v>
      </c>
      <c r="AC141" s="86">
        <f t="shared" si="17"/>
        <v>0.1276595744680851</v>
      </c>
      <c r="AD141" s="284">
        <f t="shared" si="18"/>
        <v>7.6133008801236426E-2</v>
      </c>
      <c r="AE141" s="107"/>
      <c r="AF141" s="108"/>
      <c r="AG141" s="107"/>
      <c r="AH141" s="108"/>
      <c r="AI141" s="107"/>
    </row>
    <row r="142" spans="1:53" s="65" customFormat="1">
      <c r="A142" s="1"/>
      <c r="B142" s="260" t="s">
        <v>73</v>
      </c>
      <c r="C142" s="17" t="s">
        <v>23</v>
      </c>
      <c r="D142" s="126" t="s">
        <v>24</v>
      </c>
      <c r="E142" s="17" t="s">
        <v>25</v>
      </c>
      <c r="F142" s="307">
        <f>(29+28+42)/3</f>
        <v>33</v>
      </c>
      <c r="G142" s="93">
        <f>(27+48+38)/3</f>
        <v>37.666666666666664</v>
      </c>
      <c r="H142" s="94">
        <f>(35+46+46)/3</f>
        <v>42.333333333333336</v>
      </c>
      <c r="I142" s="95"/>
      <c r="J142" s="96">
        <v>2</v>
      </c>
      <c r="K142" s="95">
        <v>1</v>
      </c>
      <c r="L142" s="93">
        <v>2</v>
      </c>
      <c r="M142" s="95"/>
      <c r="N142" s="299">
        <f>(36+30+52)/3</f>
        <v>39.333333333333336</v>
      </c>
      <c r="O142" s="71">
        <f>(17+37+35)/3</f>
        <v>29.666666666666668</v>
      </c>
      <c r="P142" s="70">
        <f>(40+39+49)/3</f>
        <v>42.666666666666664</v>
      </c>
      <c r="Q142" s="95"/>
      <c r="R142" s="305">
        <v>1</v>
      </c>
      <c r="S142" s="95">
        <v>1</v>
      </c>
      <c r="T142" s="93">
        <v>4</v>
      </c>
      <c r="U142" s="98" t="s">
        <v>34</v>
      </c>
      <c r="V142" s="4" t="s">
        <v>35</v>
      </c>
      <c r="W142" s="61">
        <f t="shared" si="16"/>
        <v>5.7142857142857141E-2</v>
      </c>
      <c r="X142" s="62">
        <f t="shared" si="16"/>
        <v>2.5862068965517244E-2</v>
      </c>
      <c r="Y142" s="63">
        <f t="shared" si="16"/>
        <v>4.5112781954887216E-2</v>
      </c>
      <c r="Z142" s="64">
        <f t="shared" si="14"/>
        <v>4.2705902687753872E-2</v>
      </c>
      <c r="AA142" s="62">
        <f t="shared" si="17"/>
        <v>2.4793388429752063E-2</v>
      </c>
      <c r="AB142" s="65">
        <f t="shared" si="17"/>
        <v>3.2608695652173912E-2</v>
      </c>
      <c r="AC142" s="62">
        <f t="shared" si="17"/>
        <v>8.5714285714285715E-2</v>
      </c>
      <c r="AD142" s="66">
        <f t="shared" si="18"/>
        <v>4.7705456598737227E-2</v>
      </c>
      <c r="AE142" s="99">
        <v>1</v>
      </c>
      <c r="AF142" s="100">
        <v>0</v>
      </c>
      <c r="AG142" s="99">
        <v>0</v>
      </c>
      <c r="AH142" s="100">
        <v>1</v>
      </c>
      <c r="AI142" s="99">
        <v>0</v>
      </c>
    </row>
    <row r="143" spans="1:53" s="65" customFormat="1">
      <c r="A143" s="1"/>
      <c r="B143" s="2"/>
      <c r="C143" s="17"/>
      <c r="D143" s="17"/>
      <c r="E143" s="17" t="s">
        <v>28</v>
      </c>
      <c r="F143" s="307">
        <f>(32+41+52)/3</f>
        <v>41.666666666666664</v>
      </c>
      <c r="G143" s="93">
        <f>(39+35+72)/3</f>
        <v>48.666666666666664</v>
      </c>
      <c r="H143" s="94">
        <f>(36+32+54)/3</f>
        <v>40.666666666666664</v>
      </c>
      <c r="I143" s="95"/>
      <c r="J143" s="96">
        <v>1</v>
      </c>
      <c r="K143" s="95">
        <v>1</v>
      </c>
      <c r="L143" s="93">
        <v>2</v>
      </c>
      <c r="M143" s="95"/>
      <c r="N143" s="299">
        <f>(33+27+39)/3</f>
        <v>33</v>
      </c>
      <c r="O143" s="71">
        <f>(29+23+48)/3</f>
        <v>33.333333333333336</v>
      </c>
      <c r="P143" s="70">
        <f>(23+28+42)/3</f>
        <v>31</v>
      </c>
      <c r="Q143" s="95"/>
      <c r="R143" s="305">
        <v>1</v>
      </c>
      <c r="S143" s="95">
        <v>3</v>
      </c>
      <c r="T143" s="93">
        <v>3</v>
      </c>
      <c r="U143" s="98"/>
      <c r="W143" s="61">
        <f t="shared" si="16"/>
        <v>2.34375E-2</v>
      </c>
      <c r="X143" s="62">
        <f t="shared" si="16"/>
        <v>2.0134228187919465E-2</v>
      </c>
      <c r="Y143" s="63">
        <f t="shared" si="16"/>
        <v>4.6875E-2</v>
      </c>
      <c r="Z143" s="64">
        <f t="shared" si="14"/>
        <v>3.0148909395973155E-2</v>
      </c>
      <c r="AA143" s="62">
        <f t="shared" si="17"/>
        <v>2.9411764705882353E-2</v>
      </c>
      <c r="AB143" s="65">
        <f t="shared" si="17"/>
        <v>8.2568807339449532E-2</v>
      </c>
      <c r="AC143" s="62">
        <f t="shared" si="17"/>
        <v>8.8235294117647065E-2</v>
      </c>
      <c r="AD143" s="66">
        <f t="shared" si="18"/>
        <v>6.6738622054326305E-2</v>
      </c>
      <c r="AE143" s="99"/>
      <c r="AF143" s="100"/>
      <c r="AG143" s="99"/>
      <c r="AH143" s="100"/>
      <c r="AI143" s="99"/>
    </row>
    <row r="144" spans="1:53" s="65" customFormat="1">
      <c r="A144" s="1"/>
      <c r="B144" s="2"/>
      <c r="C144" s="17"/>
      <c r="D144" s="17"/>
      <c r="E144" s="17" t="s">
        <v>29</v>
      </c>
      <c r="F144" s="307">
        <f>(28+23+41)/3</f>
        <v>30.666666666666668</v>
      </c>
      <c r="G144" s="93">
        <f>(41+36+62)/3</f>
        <v>46.333333333333336</v>
      </c>
      <c r="H144" s="94">
        <f>(31+37+52)/3</f>
        <v>40</v>
      </c>
      <c r="I144" s="95"/>
      <c r="J144" s="96">
        <v>3</v>
      </c>
      <c r="K144" s="95">
        <v>3</v>
      </c>
      <c r="L144" s="93">
        <v>2</v>
      </c>
      <c r="M144" s="95"/>
      <c r="N144" s="299">
        <f>(54+72+68)/3</f>
        <v>64.666666666666671</v>
      </c>
      <c r="O144" s="69">
        <f>(42+36+58)/3</f>
        <v>45.333333333333336</v>
      </c>
      <c r="P144" s="70">
        <f>(32+39+51)/3</f>
        <v>40.666666666666664</v>
      </c>
      <c r="Q144" s="95"/>
      <c r="R144" s="305">
        <v>4</v>
      </c>
      <c r="S144" s="95">
        <v>1</v>
      </c>
      <c r="T144" s="93">
        <v>2</v>
      </c>
      <c r="U144" s="98"/>
      <c r="W144" s="61">
        <f t="shared" si="16"/>
        <v>8.9108910891089091E-2</v>
      </c>
      <c r="X144" s="62">
        <f t="shared" si="16"/>
        <v>6.0810810810810807E-2</v>
      </c>
      <c r="Y144" s="63">
        <f t="shared" si="16"/>
        <v>4.7619047619047616E-2</v>
      </c>
      <c r="Z144" s="64">
        <f t="shared" si="14"/>
        <v>6.5846256440315845E-2</v>
      </c>
      <c r="AA144" s="62">
        <f t="shared" si="17"/>
        <v>5.8252427184466014E-2</v>
      </c>
      <c r="AB144" s="65">
        <f t="shared" si="17"/>
        <v>2.1582733812949638E-2</v>
      </c>
      <c r="AC144" s="62">
        <f t="shared" si="17"/>
        <v>4.6875E-2</v>
      </c>
      <c r="AD144" s="66">
        <f t="shared" si="18"/>
        <v>4.2236720332471889E-2</v>
      </c>
      <c r="AE144" s="99"/>
      <c r="AF144" s="100"/>
      <c r="AG144" s="99"/>
      <c r="AH144" s="100"/>
      <c r="AI144" s="99"/>
    </row>
    <row r="145" spans="1:35" s="89" customFormat="1">
      <c r="A145" s="75"/>
      <c r="B145" s="76"/>
      <c r="C145" s="77"/>
      <c r="D145" s="77"/>
      <c r="E145" s="77" t="s">
        <v>30</v>
      </c>
      <c r="F145" s="308">
        <f>(66+22+47)/3</f>
        <v>45</v>
      </c>
      <c r="G145" s="101">
        <f>(35+30+51)/3</f>
        <v>38.666666666666664</v>
      </c>
      <c r="H145" s="102">
        <f>(25+24+33)/3</f>
        <v>27.333333333333332</v>
      </c>
      <c r="I145" s="103"/>
      <c r="J145" s="104">
        <v>3</v>
      </c>
      <c r="K145" s="103">
        <v>1</v>
      </c>
      <c r="L145" s="101">
        <v>0</v>
      </c>
      <c r="M145" s="103"/>
      <c r="N145" s="302">
        <f>(39+49+58)/3</f>
        <v>48.666666666666664</v>
      </c>
      <c r="O145" s="79">
        <f>(24+28+44)/3</f>
        <v>32</v>
      </c>
      <c r="P145" s="80">
        <f>(22+26+42)/3</f>
        <v>30</v>
      </c>
      <c r="Q145" s="103"/>
      <c r="R145" s="306">
        <v>1</v>
      </c>
      <c r="S145" s="103">
        <v>3</v>
      </c>
      <c r="T145" s="101">
        <v>1</v>
      </c>
      <c r="U145" s="106"/>
      <c r="W145" s="85">
        <f t="shared" si="16"/>
        <v>6.25E-2</v>
      </c>
      <c r="X145" s="86">
        <f t="shared" si="16"/>
        <v>2.5210084033613446E-2</v>
      </c>
      <c r="Y145" s="87">
        <f t="shared" si="16"/>
        <v>0</v>
      </c>
      <c r="Z145" s="283">
        <f t="shared" si="14"/>
        <v>2.9236694677871145E-2</v>
      </c>
      <c r="AA145" s="86">
        <f t="shared" si="17"/>
        <v>2.0134228187919465E-2</v>
      </c>
      <c r="AB145" s="89">
        <f t="shared" si="17"/>
        <v>8.5714285714285715E-2</v>
      </c>
      <c r="AC145" s="86">
        <f t="shared" si="17"/>
        <v>3.2258064516129031E-2</v>
      </c>
      <c r="AD145" s="284">
        <f t="shared" si="18"/>
        <v>4.6035526139444734E-2</v>
      </c>
      <c r="AE145" s="107"/>
      <c r="AF145" s="108"/>
      <c r="AG145" s="107"/>
      <c r="AH145" s="108"/>
      <c r="AI145" s="107"/>
    </row>
    <row r="146" spans="1:35" s="4" customFormat="1">
      <c r="A146" s="1"/>
      <c r="B146" s="2">
        <v>5</v>
      </c>
      <c r="C146" s="17" t="s">
        <v>36</v>
      </c>
      <c r="D146" s="17" t="s">
        <v>37</v>
      </c>
      <c r="E146" s="17" t="s">
        <v>25</v>
      </c>
      <c r="F146" s="4">
        <v>42</v>
      </c>
      <c r="G146" s="69">
        <v>38</v>
      </c>
      <c r="H146" s="70">
        <v>46</v>
      </c>
      <c r="I146" s="5"/>
      <c r="J146" s="71">
        <v>3</v>
      </c>
      <c r="K146" s="5">
        <v>3</v>
      </c>
      <c r="L146" s="69">
        <v>4</v>
      </c>
      <c r="M146" s="5"/>
      <c r="N146" s="72">
        <v>52</v>
      </c>
      <c r="O146" s="71">
        <v>35</v>
      </c>
      <c r="P146" s="70">
        <v>49</v>
      </c>
      <c r="Q146" s="5"/>
      <c r="R146" s="300">
        <v>2</v>
      </c>
      <c r="S146" s="5">
        <v>1</v>
      </c>
      <c r="T146" s="69">
        <v>4</v>
      </c>
      <c r="U146" s="73" t="s">
        <v>26</v>
      </c>
      <c r="V146" s="4" t="s">
        <v>74</v>
      </c>
      <c r="W146" s="61">
        <f t="shared" si="16"/>
        <v>6.6666666666666666E-2</v>
      </c>
      <c r="X146" s="62">
        <f t="shared" si="16"/>
        <v>7.3170731707317069E-2</v>
      </c>
      <c r="Y146" s="63">
        <f t="shared" si="16"/>
        <v>0.08</v>
      </c>
      <c r="Z146" s="64">
        <f t="shared" si="14"/>
        <v>7.3279132791327917E-2</v>
      </c>
      <c r="AA146" s="62">
        <f t="shared" si="17"/>
        <v>3.7037037037037035E-2</v>
      </c>
      <c r="AB146" s="65">
        <f t="shared" si="17"/>
        <v>2.7777777777777776E-2</v>
      </c>
      <c r="AC146" s="62">
        <f t="shared" si="17"/>
        <v>7.5471698113207544E-2</v>
      </c>
      <c r="AD146" s="66">
        <f t="shared" si="18"/>
        <v>4.6762170976007454E-2</v>
      </c>
      <c r="AE146" s="74">
        <v>1</v>
      </c>
      <c r="AF146" s="14">
        <v>0</v>
      </c>
      <c r="AG146" s="74">
        <v>0</v>
      </c>
      <c r="AH146" s="14">
        <v>1</v>
      </c>
      <c r="AI146" s="74">
        <v>0</v>
      </c>
    </row>
    <row r="147" spans="1:35" s="4" customFormat="1">
      <c r="A147" s="1"/>
      <c r="B147" s="2"/>
      <c r="C147" s="17"/>
      <c r="D147" s="17"/>
      <c r="E147" s="17" t="s">
        <v>28</v>
      </c>
      <c r="F147" s="4">
        <v>52</v>
      </c>
      <c r="G147" s="69">
        <v>72</v>
      </c>
      <c r="H147" s="70">
        <v>54</v>
      </c>
      <c r="I147" s="5"/>
      <c r="J147" s="71">
        <v>3</v>
      </c>
      <c r="K147" s="5">
        <v>6</v>
      </c>
      <c r="L147" s="69">
        <v>7</v>
      </c>
      <c r="M147" s="5"/>
      <c r="N147" s="72">
        <v>39</v>
      </c>
      <c r="O147" s="71">
        <v>48</v>
      </c>
      <c r="P147" s="70">
        <v>42</v>
      </c>
      <c r="Q147" s="5"/>
      <c r="R147" s="300">
        <v>0</v>
      </c>
      <c r="S147" s="5">
        <v>2</v>
      </c>
      <c r="T147" s="69">
        <v>0</v>
      </c>
      <c r="U147" s="73"/>
      <c r="W147" s="61">
        <f t="shared" si="16"/>
        <v>5.4545454545454543E-2</v>
      </c>
      <c r="X147" s="62">
        <f t="shared" si="16"/>
        <v>7.6923076923076927E-2</v>
      </c>
      <c r="Y147" s="63">
        <f t="shared" si="16"/>
        <v>0.11475409836065574</v>
      </c>
      <c r="Z147" s="64">
        <f t="shared" si="14"/>
        <v>8.2074209943062401E-2</v>
      </c>
      <c r="AA147" s="62">
        <f t="shared" si="17"/>
        <v>0</v>
      </c>
      <c r="AB147" s="65">
        <f t="shared" si="17"/>
        <v>0.04</v>
      </c>
      <c r="AC147" s="62">
        <f t="shared" si="17"/>
        <v>0</v>
      </c>
      <c r="AD147" s="66">
        <f t="shared" si="18"/>
        <v>1.3333333333333334E-2</v>
      </c>
      <c r="AE147" s="74"/>
      <c r="AF147" s="14"/>
      <c r="AG147" s="74"/>
      <c r="AH147" s="14"/>
      <c r="AI147" s="74"/>
    </row>
    <row r="148" spans="1:35" s="4" customFormat="1">
      <c r="A148" s="1"/>
      <c r="B148" s="2"/>
      <c r="C148" s="17"/>
      <c r="D148" s="17"/>
      <c r="E148" s="17" t="s">
        <v>29</v>
      </c>
      <c r="F148" s="4">
        <v>41</v>
      </c>
      <c r="G148" s="69">
        <v>61</v>
      </c>
      <c r="H148" s="70">
        <v>52</v>
      </c>
      <c r="I148" s="5"/>
      <c r="J148" s="71">
        <v>2</v>
      </c>
      <c r="K148" s="5">
        <v>2</v>
      </c>
      <c r="L148" s="69">
        <v>0</v>
      </c>
      <c r="M148" s="5"/>
      <c r="N148" s="72">
        <v>68</v>
      </c>
      <c r="O148" s="71">
        <v>58</v>
      </c>
      <c r="P148" s="70">
        <v>51</v>
      </c>
      <c r="Q148" s="5"/>
      <c r="R148" s="300">
        <v>5</v>
      </c>
      <c r="S148" s="5">
        <v>1</v>
      </c>
      <c r="T148" s="69">
        <v>2</v>
      </c>
      <c r="U148" s="73"/>
      <c r="W148" s="61">
        <f t="shared" si="16"/>
        <v>4.6511627906976744E-2</v>
      </c>
      <c r="X148" s="62">
        <f t="shared" si="16"/>
        <v>3.1746031746031744E-2</v>
      </c>
      <c r="Y148" s="63">
        <f t="shared" si="16"/>
        <v>0</v>
      </c>
      <c r="Z148" s="64">
        <f t="shared" si="14"/>
        <v>2.6085886551002829E-2</v>
      </c>
      <c r="AA148" s="62">
        <f t="shared" si="17"/>
        <v>6.8493150684931503E-2</v>
      </c>
      <c r="AB148" s="65">
        <f t="shared" si="17"/>
        <v>1.6949152542372881E-2</v>
      </c>
      <c r="AC148" s="62">
        <f t="shared" si="17"/>
        <v>3.7735849056603772E-2</v>
      </c>
      <c r="AD148" s="66">
        <f t="shared" si="18"/>
        <v>4.1059384094636053E-2</v>
      </c>
      <c r="AE148" s="74"/>
      <c r="AF148" s="14"/>
      <c r="AG148" s="74"/>
      <c r="AH148" s="14"/>
      <c r="AI148" s="74"/>
    </row>
    <row r="149" spans="1:35" s="78" customFormat="1">
      <c r="A149" s="75"/>
      <c r="B149" s="76"/>
      <c r="C149" s="77"/>
      <c r="D149" s="77"/>
      <c r="E149" s="77" t="s">
        <v>30</v>
      </c>
      <c r="F149" s="78">
        <v>47</v>
      </c>
      <c r="G149" s="79">
        <v>51</v>
      </c>
      <c r="H149" s="80">
        <v>33</v>
      </c>
      <c r="I149" s="81"/>
      <c r="J149" s="82">
        <v>1</v>
      </c>
      <c r="K149" s="81">
        <v>2</v>
      </c>
      <c r="L149" s="79">
        <v>3</v>
      </c>
      <c r="M149" s="81"/>
      <c r="N149" s="83">
        <v>58</v>
      </c>
      <c r="O149" s="82">
        <v>44</v>
      </c>
      <c r="P149" s="80">
        <v>42</v>
      </c>
      <c r="Q149" s="81"/>
      <c r="R149" s="304">
        <v>2</v>
      </c>
      <c r="S149" s="81">
        <v>2</v>
      </c>
      <c r="T149" s="79">
        <v>0</v>
      </c>
      <c r="U149" s="84"/>
      <c r="W149" s="85">
        <f t="shared" si="16"/>
        <v>2.0833333333333332E-2</v>
      </c>
      <c r="X149" s="86">
        <f t="shared" si="16"/>
        <v>3.7735849056603772E-2</v>
      </c>
      <c r="Y149" s="87">
        <f t="shared" si="16"/>
        <v>8.3333333333333329E-2</v>
      </c>
      <c r="Z149" s="283">
        <f t="shared" si="14"/>
        <v>4.7300838574423486E-2</v>
      </c>
      <c r="AA149" s="86">
        <f t="shared" si="17"/>
        <v>3.3333333333333333E-2</v>
      </c>
      <c r="AB149" s="89">
        <f t="shared" si="17"/>
        <v>4.3478260869565216E-2</v>
      </c>
      <c r="AC149" s="86">
        <f t="shared" si="17"/>
        <v>0</v>
      </c>
      <c r="AD149" s="284">
        <f t="shared" si="18"/>
        <v>2.5603864734299514E-2</v>
      </c>
      <c r="AE149" s="91"/>
      <c r="AF149" s="92"/>
      <c r="AG149" s="91"/>
      <c r="AH149" s="92"/>
      <c r="AI149" s="91"/>
    </row>
    <row r="150" spans="1:35" s="65" customFormat="1">
      <c r="A150" s="1"/>
      <c r="B150" s="2">
        <v>6</v>
      </c>
      <c r="C150" s="17" t="s">
        <v>23</v>
      </c>
      <c r="D150" s="126" t="s">
        <v>24</v>
      </c>
      <c r="E150" s="17" t="s">
        <v>25</v>
      </c>
      <c r="F150" s="65">
        <f>(63+42)/2</f>
        <v>52.5</v>
      </c>
      <c r="G150" s="309" t="s">
        <v>42</v>
      </c>
      <c r="H150" s="309" t="s">
        <v>42</v>
      </c>
      <c r="I150" s="95"/>
      <c r="J150" s="96">
        <v>1</v>
      </c>
      <c r="K150" s="309">
        <v>0</v>
      </c>
      <c r="L150" s="309">
        <v>0</v>
      </c>
      <c r="M150" s="95"/>
      <c r="N150" s="97">
        <f>(93+52)/2</f>
        <v>72.5</v>
      </c>
      <c r="O150" s="309" t="s">
        <v>42</v>
      </c>
      <c r="P150" s="309" t="s">
        <v>42</v>
      </c>
      <c r="Q150" s="95"/>
      <c r="R150" s="305">
        <v>0</v>
      </c>
      <c r="S150" s="309">
        <v>0</v>
      </c>
      <c r="T150" s="309">
        <v>0</v>
      </c>
      <c r="U150" s="98" t="s">
        <v>34</v>
      </c>
      <c r="V150" s="4" t="s">
        <v>35</v>
      </c>
      <c r="W150" s="61">
        <f t="shared" si="16"/>
        <v>1.8691588785046728E-2</v>
      </c>
      <c r="X150" s="134" t="s">
        <v>43</v>
      </c>
      <c r="Y150" s="134" t="s">
        <v>43</v>
      </c>
      <c r="Z150" s="64">
        <f>AVERAGE(W150:Y150)</f>
        <v>1.8691588785046728E-2</v>
      </c>
      <c r="AA150" s="62">
        <f t="shared" si="17"/>
        <v>0</v>
      </c>
      <c r="AB150" s="134" t="s">
        <v>43</v>
      </c>
      <c r="AC150" s="134" t="s">
        <v>43</v>
      </c>
      <c r="AD150" s="66">
        <f t="shared" si="18"/>
        <v>0</v>
      </c>
      <c r="AE150" s="99">
        <v>1</v>
      </c>
      <c r="AF150" s="100">
        <v>0</v>
      </c>
      <c r="AG150" s="99">
        <v>0</v>
      </c>
      <c r="AH150" s="100">
        <v>0</v>
      </c>
      <c r="AI150" s="99">
        <v>0</v>
      </c>
    </row>
    <row r="151" spans="1:35" s="65" customFormat="1">
      <c r="A151" s="1"/>
      <c r="B151" s="2"/>
      <c r="C151" s="17"/>
      <c r="D151" s="17"/>
      <c r="E151" s="17" t="s">
        <v>28</v>
      </c>
      <c r="F151" s="65">
        <f>(88+52)/2</f>
        <v>70</v>
      </c>
      <c r="G151" s="309" t="s">
        <v>42</v>
      </c>
      <c r="H151" s="309" t="s">
        <v>42</v>
      </c>
      <c r="I151" s="95"/>
      <c r="J151" s="96">
        <v>0</v>
      </c>
      <c r="K151" s="309">
        <v>0</v>
      </c>
      <c r="L151" s="309">
        <v>0</v>
      </c>
      <c r="M151" s="95"/>
      <c r="N151" s="97">
        <f>(62+39)/2</f>
        <v>50.5</v>
      </c>
      <c r="O151" s="309" t="s">
        <v>42</v>
      </c>
      <c r="P151" s="309" t="s">
        <v>42</v>
      </c>
      <c r="Q151" s="95"/>
      <c r="R151" s="305">
        <v>1</v>
      </c>
      <c r="S151" s="309">
        <v>0</v>
      </c>
      <c r="T151" s="309">
        <v>0</v>
      </c>
      <c r="U151" s="98"/>
      <c r="W151" s="61">
        <f t="shared" si="16"/>
        <v>0</v>
      </c>
      <c r="X151" s="134" t="s">
        <v>43</v>
      </c>
      <c r="Y151" s="134" t="s">
        <v>43</v>
      </c>
      <c r="Z151" s="64">
        <f t="shared" si="14"/>
        <v>0</v>
      </c>
      <c r="AA151" s="62">
        <f t="shared" si="17"/>
        <v>1.9417475728155338E-2</v>
      </c>
      <c r="AB151" s="134" t="s">
        <v>43</v>
      </c>
      <c r="AC151" s="134" t="s">
        <v>43</v>
      </c>
      <c r="AD151" s="66">
        <f t="shared" si="18"/>
        <v>1.9417475728155338E-2</v>
      </c>
      <c r="AE151" s="99"/>
      <c r="AF151" s="100"/>
      <c r="AG151" s="99"/>
      <c r="AH151" s="100"/>
      <c r="AI151" s="99"/>
    </row>
    <row r="152" spans="1:35" s="65" customFormat="1">
      <c r="A152" s="1"/>
      <c r="B152" s="2"/>
      <c r="C152" s="17"/>
      <c r="D152" s="17"/>
      <c r="E152" s="17" t="s">
        <v>29</v>
      </c>
      <c r="F152" s="65">
        <f>(69+41)/2</f>
        <v>55</v>
      </c>
      <c r="G152" s="309" t="s">
        <v>42</v>
      </c>
      <c r="H152" s="309" t="s">
        <v>42</v>
      </c>
      <c r="I152" s="95"/>
      <c r="J152" s="96">
        <v>0</v>
      </c>
      <c r="K152" s="309">
        <v>0</v>
      </c>
      <c r="L152" s="309">
        <v>0</v>
      </c>
      <c r="M152" s="95"/>
      <c r="N152" s="97">
        <f>(97+68)/2</f>
        <v>82.5</v>
      </c>
      <c r="O152" s="309" t="s">
        <v>42</v>
      </c>
      <c r="P152" s="309" t="s">
        <v>42</v>
      </c>
      <c r="Q152" s="95"/>
      <c r="R152" s="305">
        <v>0</v>
      </c>
      <c r="S152" s="309">
        <v>0</v>
      </c>
      <c r="T152" s="309">
        <v>0</v>
      </c>
      <c r="U152" s="98"/>
      <c r="W152" s="61">
        <f t="shared" si="16"/>
        <v>0</v>
      </c>
      <c r="X152" s="134" t="s">
        <v>43</v>
      </c>
      <c r="Y152" s="134" t="s">
        <v>43</v>
      </c>
      <c r="Z152" s="64">
        <f t="shared" si="14"/>
        <v>0</v>
      </c>
      <c r="AA152" s="62">
        <f t="shared" si="17"/>
        <v>0</v>
      </c>
      <c r="AB152" s="134" t="s">
        <v>43</v>
      </c>
      <c r="AC152" s="134" t="s">
        <v>43</v>
      </c>
      <c r="AD152" s="66">
        <f t="shared" si="18"/>
        <v>0</v>
      </c>
      <c r="AE152" s="99"/>
      <c r="AF152" s="100"/>
      <c r="AG152" s="99"/>
      <c r="AH152" s="100"/>
      <c r="AI152" s="99"/>
    </row>
    <row r="153" spans="1:35" s="89" customFormat="1">
      <c r="A153" s="75"/>
      <c r="B153" s="76"/>
      <c r="C153" s="77"/>
      <c r="D153" s="77"/>
      <c r="E153" s="77" t="s">
        <v>30</v>
      </c>
      <c r="F153" s="89">
        <f>(71+47)/2</f>
        <v>59</v>
      </c>
      <c r="G153" s="310" t="s">
        <v>42</v>
      </c>
      <c r="H153" s="310" t="s">
        <v>42</v>
      </c>
      <c r="I153" s="103"/>
      <c r="J153" s="104">
        <v>0</v>
      </c>
      <c r="K153" s="310">
        <v>0</v>
      </c>
      <c r="L153" s="310">
        <v>0</v>
      </c>
      <c r="M153" s="103"/>
      <c r="N153" s="105">
        <f>(114+58)/2</f>
        <v>86</v>
      </c>
      <c r="O153" s="310" t="s">
        <v>42</v>
      </c>
      <c r="P153" s="310" t="s">
        <v>42</v>
      </c>
      <c r="Q153" s="103"/>
      <c r="R153" s="306">
        <v>0</v>
      </c>
      <c r="S153" s="310">
        <v>0</v>
      </c>
      <c r="T153" s="310">
        <v>0</v>
      </c>
      <c r="U153" s="106"/>
      <c r="W153" s="85">
        <f t="shared" si="16"/>
        <v>0</v>
      </c>
      <c r="X153" s="147" t="s">
        <v>43</v>
      </c>
      <c r="Y153" s="147" t="s">
        <v>43</v>
      </c>
      <c r="Z153" s="283">
        <f t="shared" si="14"/>
        <v>0</v>
      </c>
      <c r="AA153" s="86">
        <f t="shared" si="17"/>
        <v>0</v>
      </c>
      <c r="AB153" s="147" t="s">
        <v>43</v>
      </c>
      <c r="AC153" s="147" t="s">
        <v>43</v>
      </c>
      <c r="AD153" s="284">
        <f t="shared" si="18"/>
        <v>0</v>
      </c>
      <c r="AE153" s="107"/>
      <c r="AF153" s="108"/>
      <c r="AG153" s="107"/>
      <c r="AH153" s="108"/>
      <c r="AI153" s="107"/>
    </row>
    <row r="154" spans="1:35" s="4" customFormat="1">
      <c r="A154" s="1"/>
      <c r="B154" s="2">
        <v>7</v>
      </c>
      <c r="C154" s="17" t="s">
        <v>23</v>
      </c>
      <c r="D154" s="126" t="s">
        <v>24</v>
      </c>
      <c r="E154" s="17" t="s">
        <v>25</v>
      </c>
      <c r="F154" s="4">
        <f>(27+63)/2</f>
        <v>45</v>
      </c>
      <c r="G154" s="69">
        <f>(37+64)/2</f>
        <v>50.5</v>
      </c>
      <c r="H154" s="70">
        <f>(39+91)/2</f>
        <v>65</v>
      </c>
      <c r="I154" s="5"/>
      <c r="J154" s="71">
        <v>2</v>
      </c>
      <c r="K154" s="5">
        <v>5</v>
      </c>
      <c r="L154" s="69">
        <v>12</v>
      </c>
      <c r="M154" s="5"/>
      <c r="N154" s="72">
        <f>(41+93)/2</f>
        <v>67</v>
      </c>
      <c r="O154" s="69">
        <f>(24+61)/2</f>
        <v>42.5</v>
      </c>
      <c r="P154" s="70">
        <f>(34+109)/2</f>
        <v>71.5</v>
      </c>
      <c r="Q154" s="5"/>
      <c r="R154" s="262">
        <v>6</v>
      </c>
      <c r="S154" s="5">
        <v>4</v>
      </c>
      <c r="T154" s="69">
        <v>10</v>
      </c>
      <c r="U154" s="73" t="s">
        <v>34</v>
      </c>
      <c r="V154" s="4" t="s">
        <v>35</v>
      </c>
      <c r="W154" s="61">
        <f t="shared" si="16"/>
        <v>4.2553191489361701E-2</v>
      </c>
      <c r="X154" s="62">
        <f t="shared" si="16"/>
        <v>9.0090090090090086E-2</v>
      </c>
      <c r="Y154" s="63">
        <f t="shared" si="16"/>
        <v>0.15584415584415584</v>
      </c>
      <c r="Z154" s="64">
        <f t="shared" si="14"/>
        <v>9.6162479141202531E-2</v>
      </c>
      <c r="AA154" s="62">
        <f t="shared" si="17"/>
        <v>8.2191780821917804E-2</v>
      </c>
      <c r="AB154" s="65">
        <f t="shared" si="17"/>
        <v>8.6021505376344093E-2</v>
      </c>
      <c r="AC154" s="62">
        <f t="shared" si="17"/>
        <v>0.12269938650306748</v>
      </c>
      <c r="AD154" s="66">
        <f t="shared" si="18"/>
        <v>9.6970890900443127E-2</v>
      </c>
      <c r="AE154" s="74">
        <v>1</v>
      </c>
      <c r="AF154" s="14">
        <v>0</v>
      </c>
      <c r="AG154" s="74">
        <v>0</v>
      </c>
      <c r="AH154" s="14">
        <v>1</v>
      </c>
      <c r="AI154" s="74">
        <v>0</v>
      </c>
    </row>
    <row r="155" spans="1:35" s="4" customFormat="1">
      <c r="A155" s="1"/>
      <c r="B155" s="2"/>
      <c r="C155" s="17"/>
      <c r="D155" s="17"/>
      <c r="E155" s="17" t="s">
        <v>28</v>
      </c>
      <c r="F155" s="4">
        <f>(28+88)/2</f>
        <v>58</v>
      </c>
      <c r="G155" s="69">
        <f>(34+75)/2</f>
        <v>54.5</v>
      </c>
      <c r="H155" s="70">
        <f>(37+89)/2</f>
        <v>63</v>
      </c>
      <c r="I155" s="5"/>
      <c r="J155" s="71">
        <v>1</v>
      </c>
      <c r="K155" s="5">
        <v>4</v>
      </c>
      <c r="L155" s="69">
        <v>9</v>
      </c>
      <c r="M155" s="5"/>
      <c r="N155" s="72">
        <f>(93+62)/2</f>
        <v>77.5</v>
      </c>
      <c r="O155" s="69">
        <f>(73+71)/2</f>
        <v>72</v>
      </c>
      <c r="P155" s="70">
        <f>(88+74)/2</f>
        <v>81</v>
      </c>
      <c r="Q155" s="5"/>
      <c r="R155" s="262">
        <v>10</v>
      </c>
      <c r="S155" s="5">
        <v>4</v>
      </c>
      <c r="T155" s="69">
        <v>12</v>
      </c>
      <c r="U155" s="73"/>
      <c r="W155" s="61">
        <f t="shared" si="16"/>
        <v>1.6949152542372881E-2</v>
      </c>
      <c r="X155" s="62">
        <f t="shared" si="16"/>
        <v>6.8376068376068383E-2</v>
      </c>
      <c r="Y155" s="63">
        <f t="shared" si="16"/>
        <v>0.125</v>
      </c>
      <c r="Z155" s="64">
        <f t="shared" si="14"/>
        <v>7.0108406972813744E-2</v>
      </c>
      <c r="AA155" s="62">
        <f t="shared" si="17"/>
        <v>0.11428571428571428</v>
      </c>
      <c r="AB155" s="65">
        <f t="shared" si="17"/>
        <v>5.2631578947368418E-2</v>
      </c>
      <c r="AC155" s="62">
        <f t="shared" si="17"/>
        <v>0.12903225806451613</v>
      </c>
      <c r="AD155" s="66">
        <f t="shared" si="18"/>
        <v>9.8649850432532937E-2</v>
      </c>
      <c r="AE155" s="74"/>
      <c r="AF155" s="14"/>
      <c r="AG155" s="74"/>
      <c r="AH155" s="14"/>
      <c r="AI155" s="74"/>
    </row>
    <row r="156" spans="1:35" s="4" customFormat="1">
      <c r="A156" s="1"/>
      <c r="B156" s="2"/>
      <c r="C156" s="17"/>
      <c r="D156" s="17"/>
      <c r="E156" s="17" t="s">
        <v>29</v>
      </c>
      <c r="F156" s="4">
        <f>(83+69)/2</f>
        <v>76</v>
      </c>
      <c r="G156" s="69">
        <f>(111+85)/2</f>
        <v>98</v>
      </c>
      <c r="H156" s="70">
        <f>(85+73)/2</f>
        <v>79</v>
      </c>
      <c r="I156" s="5"/>
      <c r="J156" s="71">
        <v>10</v>
      </c>
      <c r="K156" s="5">
        <v>16</v>
      </c>
      <c r="L156" s="69">
        <v>11</v>
      </c>
      <c r="M156" s="5"/>
      <c r="N156" s="72">
        <f>(53+97)/2</f>
        <v>75</v>
      </c>
      <c r="O156" s="69">
        <f>(42+113)/2</f>
        <v>77.5</v>
      </c>
      <c r="P156" s="70">
        <f>(45+97)/2</f>
        <v>71</v>
      </c>
      <c r="Q156" s="5"/>
      <c r="R156" s="262">
        <v>11</v>
      </c>
      <c r="S156" s="5">
        <v>9</v>
      </c>
      <c r="T156" s="69">
        <v>7</v>
      </c>
      <c r="U156" s="73"/>
      <c r="W156" s="61">
        <f t="shared" si="16"/>
        <v>0.11627906976744186</v>
      </c>
      <c r="X156" s="62">
        <f t="shared" si="16"/>
        <v>0.14035087719298245</v>
      </c>
      <c r="Y156" s="63">
        <f t="shared" si="16"/>
        <v>0.12222222222222222</v>
      </c>
      <c r="Z156" s="64">
        <f t="shared" si="14"/>
        <v>0.1262840563942155</v>
      </c>
      <c r="AA156" s="62">
        <f t="shared" si="17"/>
        <v>0.12790697674418605</v>
      </c>
      <c r="AB156" s="65">
        <f t="shared" si="17"/>
        <v>0.10404624277456648</v>
      </c>
      <c r="AC156" s="62">
        <f t="shared" si="17"/>
        <v>8.9743589743589744E-2</v>
      </c>
      <c r="AD156" s="66">
        <f t="shared" si="18"/>
        <v>0.1072322697541141</v>
      </c>
      <c r="AE156" s="74"/>
      <c r="AF156" s="14"/>
      <c r="AG156" s="74"/>
      <c r="AH156" s="14"/>
      <c r="AI156" s="74"/>
    </row>
    <row r="157" spans="1:35" s="311" customFormat="1" ht="16.5" thickBot="1">
      <c r="A157" s="109"/>
      <c r="B157" s="110"/>
      <c r="C157" s="111"/>
      <c r="D157" s="111"/>
      <c r="E157" s="111" t="s">
        <v>30</v>
      </c>
      <c r="F157" s="311">
        <f>(77+71)/2</f>
        <v>74</v>
      </c>
      <c r="G157" s="312">
        <f>(86+60)/2</f>
        <v>73</v>
      </c>
      <c r="H157" s="313">
        <f>(50+55)/2</f>
        <v>52.5</v>
      </c>
      <c r="I157" s="314"/>
      <c r="J157" s="315">
        <v>13</v>
      </c>
      <c r="K157" s="314">
        <v>11</v>
      </c>
      <c r="L157" s="312">
        <v>8</v>
      </c>
      <c r="M157" s="314"/>
      <c r="N157" s="316">
        <f>(107+114)/2</f>
        <v>110.5</v>
      </c>
      <c r="O157" s="312">
        <f>(83+79)/2</f>
        <v>81</v>
      </c>
      <c r="P157" s="313">
        <f>(88+77)/2</f>
        <v>82.5</v>
      </c>
      <c r="Q157" s="314"/>
      <c r="R157" s="317">
        <v>14</v>
      </c>
      <c r="S157" s="314">
        <v>11</v>
      </c>
      <c r="T157" s="312">
        <v>13</v>
      </c>
      <c r="U157" s="318"/>
      <c r="W157" s="120">
        <f t="shared" si="16"/>
        <v>0.14942528735632185</v>
      </c>
      <c r="X157" s="118">
        <f t="shared" si="16"/>
        <v>0.13095238095238096</v>
      </c>
      <c r="Y157" s="121">
        <f t="shared" si="16"/>
        <v>0.13223140495867769</v>
      </c>
      <c r="Z157" s="319">
        <f t="shared" si="14"/>
        <v>0.13753635775579351</v>
      </c>
      <c r="AA157" s="118">
        <f t="shared" si="17"/>
        <v>0.11244979919678715</v>
      </c>
      <c r="AB157" s="112">
        <f t="shared" si="17"/>
        <v>0.11956521739130435</v>
      </c>
      <c r="AC157" s="118">
        <f t="shared" si="17"/>
        <v>0.13612565445026178</v>
      </c>
      <c r="AD157" s="320">
        <f t="shared" si="18"/>
        <v>0.12271355701278441</v>
      </c>
      <c r="AE157" s="321"/>
      <c r="AF157" s="322"/>
      <c r="AG157" s="321"/>
      <c r="AH157" s="322"/>
      <c r="AI157" s="321"/>
    </row>
    <row r="158" spans="1:35" s="4" customFormat="1" ht="16.5" thickTop="1">
      <c r="A158" s="1" t="s">
        <v>75</v>
      </c>
      <c r="B158" s="2">
        <v>2</v>
      </c>
      <c r="C158" s="17" t="s">
        <v>36</v>
      </c>
      <c r="D158" s="17" t="s">
        <v>37</v>
      </c>
      <c r="E158" s="17" t="s">
        <v>25</v>
      </c>
      <c r="F158" s="323" t="s">
        <v>42</v>
      </c>
      <c r="G158" s="69">
        <v>42</v>
      </c>
      <c r="H158" s="323" t="s">
        <v>42</v>
      </c>
      <c r="I158" s="5"/>
      <c r="J158" s="324">
        <v>0</v>
      </c>
      <c r="K158" s="5">
        <v>2</v>
      </c>
      <c r="L158" s="324">
        <v>0</v>
      </c>
      <c r="M158" s="5"/>
      <c r="N158" s="72">
        <v>40</v>
      </c>
      <c r="O158" s="69">
        <v>53</v>
      </c>
      <c r="P158" s="323" t="s">
        <v>42</v>
      </c>
      <c r="Q158" s="5"/>
      <c r="R158" s="262">
        <v>1</v>
      </c>
      <c r="S158" s="5">
        <v>0</v>
      </c>
      <c r="T158" s="323">
        <v>0</v>
      </c>
      <c r="U158" s="325" t="s">
        <v>26</v>
      </c>
      <c r="V158" s="4" t="s">
        <v>76</v>
      </c>
      <c r="W158" s="134" t="s">
        <v>43</v>
      </c>
      <c r="X158" s="62">
        <f t="shared" si="16"/>
        <v>4.5454545454545456E-2</v>
      </c>
      <c r="Y158" s="134" t="s">
        <v>43</v>
      </c>
      <c r="Z158" s="64">
        <f t="shared" si="14"/>
        <v>4.5454545454545456E-2</v>
      </c>
      <c r="AA158" s="62">
        <f t="shared" si="17"/>
        <v>2.4390243902439025E-2</v>
      </c>
      <c r="AB158" s="65">
        <f t="shared" si="17"/>
        <v>0</v>
      </c>
      <c r="AC158" s="134" t="s">
        <v>43</v>
      </c>
      <c r="AD158" s="66">
        <f t="shared" si="18"/>
        <v>1.2195121951219513E-2</v>
      </c>
      <c r="AE158" s="74">
        <v>1</v>
      </c>
      <c r="AF158" s="14">
        <v>0</v>
      </c>
      <c r="AG158" s="74">
        <v>0</v>
      </c>
      <c r="AH158" s="14">
        <v>0</v>
      </c>
      <c r="AI158" s="74">
        <v>0</v>
      </c>
    </row>
    <row r="159" spans="1:35" s="4" customFormat="1">
      <c r="A159" s="1"/>
      <c r="B159" s="2"/>
      <c r="C159" s="17"/>
      <c r="D159" s="17"/>
      <c r="E159" s="17" t="s">
        <v>28</v>
      </c>
      <c r="F159" s="309" t="s">
        <v>42</v>
      </c>
      <c r="G159" s="69">
        <v>45</v>
      </c>
      <c r="H159" s="309" t="s">
        <v>42</v>
      </c>
      <c r="I159" s="5"/>
      <c r="J159" s="309">
        <v>0</v>
      </c>
      <c r="K159" s="5">
        <v>0</v>
      </c>
      <c r="L159" s="309">
        <v>0</v>
      </c>
      <c r="M159" s="5"/>
      <c r="N159" s="72">
        <v>43</v>
      </c>
      <c r="O159" s="69">
        <v>46</v>
      </c>
      <c r="P159" s="309" t="s">
        <v>42</v>
      </c>
      <c r="Q159" s="5"/>
      <c r="R159" s="262">
        <v>1</v>
      </c>
      <c r="S159" s="5">
        <v>0</v>
      </c>
      <c r="T159" s="309">
        <v>0</v>
      </c>
      <c r="U159" s="98"/>
      <c r="W159" s="134" t="s">
        <v>43</v>
      </c>
      <c r="X159" s="62">
        <f t="shared" si="16"/>
        <v>0</v>
      </c>
      <c r="Y159" s="134" t="s">
        <v>43</v>
      </c>
      <c r="Z159" s="64">
        <f t="shared" si="14"/>
        <v>0</v>
      </c>
      <c r="AA159" s="62">
        <f t="shared" si="17"/>
        <v>2.2727272727272728E-2</v>
      </c>
      <c r="AB159" s="65">
        <f t="shared" si="17"/>
        <v>0</v>
      </c>
      <c r="AC159" s="134" t="s">
        <v>43</v>
      </c>
      <c r="AD159" s="66">
        <f t="shared" si="18"/>
        <v>1.1363636363636364E-2</v>
      </c>
      <c r="AE159" s="74"/>
      <c r="AF159" s="14"/>
      <c r="AG159" s="74"/>
      <c r="AH159" s="14"/>
      <c r="AI159" s="74"/>
    </row>
    <row r="160" spans="1:35" s="4" customFormat="1">
      <c r="A160" s="1"/>
      <c r="B160" s="2"/>
      <c r="C160" s="17"/>
      <c r="D160" s="17"/>
      <c r="E160" s="17" t="s">
        <v>29</v>
      </c>
      <c r="F160" s="309" t="s">
        <v>42</v>
      </c>
      <c r="G160" s="69">
        <v>49</v>
      </c>
      <c r="H160" s="309" t="s">
        <v>42</v>
      </c>
      <c r="I160" s="5"/>
      <c r="J160" s="309">
        <v>0</v>
      </c>
      <c r="K160" s="5">
        <v>0</v>
      </c>
      <c r="L160" s="309">
        <v>0</v>
      </c>
      <c r="M160" s="5"/>
      <c r="N160" s="72">
        <v>65</v>
      </c>
      <c r="O160" s="69">
        <v>63</v>
      </c>
      <c r="P160" s="309" t="s">
        <v>42</v>
      </c>
      <c r="Q160" s="5"/>
      <c r="R160" s="262">
        <v>0</v>
      </c>
      <c r="S160" s="5">
        <v>3</v>
      </c>
      <c r="T160" s="309">
        <v>0</v>
      </c>
      <c r="U160" s="98"/>
      <c r="W160" s="134" t="s">
        <v>43</v>
      </c>
      <c r="X160" s="62">
        <f t="shared" si="16"/>
        <v>0</v>
      </c>
      <c r="Y160" s="134" t="s">
        <v>43</v>
      </c>
      <c r="Z160" s="64">
        <f t="shared" si="14"/>
        <v>0</v>
      </c>
      <c r="AA160" s="62">
        <f t="shared" si="17"/>
        <v>0</v>
      </c>
      <c r="AB160" s="65">
        <f t="shared" si="17"/>
        <v>4.5454545454545456E-2</v>
      </c>
      <c r="AC160" s="134" t="s">
        <v>43</v>
      </c>
      <c r="AD160" s="66">
        <f t="shared" si="18"/>
        <v>2.2727272727272728E-2</v>
      </c>
      <c r="AE160" s="74"/>
      <c r="AF160" s="14"/>
      <c r="AG160" s="74"/>
      <c r="AH160" s="14"/>
      <c r="AI160" s="74"/>
    </row>
    <row r="161" spans="1:35" s="78" customFormat="1">
      <c r="A161" s="75"/>
      <c r="B161" s="76"/>
      <c r="C161" s="77"/>
      <c r="D161" s="77"/>
      <c r="E161" s="77" t="s">
        <v>30</v>
      </c>
      <c r="F161" s="310" t="s">
        <v>42</v>
      </c>
      <c r="G161" s="79">
        <v>46</v>
      </c>
      <c r="H161" s="310" t="s">
        <v>42</v>
      </c>
      <c r="I161" s="81"/>
      <c r="J161" s="310">
        <v>0</v>
      </c>
      <c r="K161" s="81">
        <v>0</v>
      </c>
      <c r="L161" s="310">
        <v>0</v>
      </c>
      <c r="M161" s="81"/>
      <c r="N161" s="83">
        <v>52</v>
      </c>
      <c r="O161" s="79">
        <v>46</v>
      </c>
      <c r="P161" s="310" t="s">
        <v>42</v>
      </c>
      <c r="Q161" s="81"/>
      <c r="R161" s="263">
        <v>0</v>
      </c>
      <c r="S161" s="81">
        <v>0</v>
      </c>
      <c r="T161" s="310">
        <v>0</v>
      </c>
      <c r="U161" s="106"/>
      <c r="W161" s="147" t="s">
        <v>43</v>
      </c>
      <c r="X161" s="86">
        <f t="shared" si="16"/>
        <v>0</v>
      </c>
      <c r="Y161" s="147" t="s">
        <v>43</v>
      </c>
      <c r="Z161" s="283">
        <f t="shared" si="14"/>
        <v>0</v>
      </c>
      <c r="AA161" s="86">
        <f t="shared" si="17"/>
        <v>0</v>
      </c>
      <c r="AB161" s="89">
        <f t="shared" si="17"/>
        <v>0</v>
      </c>
      <c r="AC161" s="147" t="s">
        <v>43</v>
      </c>
      <c r="AD161" s="284">
        <f t="shared" si="18"/>
        <v>0</v>
      </c>
      <c r="AE161" s="91"/>
      <c r="AF161" s="92"/>
      <c r="AG161" s="91"/>
      <c r="AH161" s="92"/>
      <c r="AI161" s="91"/>
    </row>
    <row r="162" spans="1:35" s="4" customFormat="1">
      <c r="A162" s="1"/>
      <c r="B162" s="2">
        <v>2</v>
      </c>
      <c r="C162" s="17" t="s">
        <v>77</v>
      </c>
      <c r="D162" s="17" t="s">
        <v>37</v>
      </c>
      <c r="E162" s="17" t="s">
        <v>25</v>
      </c>
      <c r="F162" s="323" t="s">
        <v>42</v>
      </c>
      <c r="G162" s="323" t="s">
        <v>42</v>
      </c>
      <c r="H162" s="323" t="s">
        <v>42</v>
      </c>
      <c r="I162" s="5"/>
      <c r="J162" s="324">
        <v>0</v>
      </c>
      <c r="K162" s="324">
        <v>0</v>
      </c>
      <c r="L162" s="324">
        <v>0</v>
      </c>
      <c r="M162" s="5"/>
      <c r="N162" s="72">
        <v>40</v>
      </c>
      <c r="O162" s="323" t="s">
        <v>42</v>
      </c>
      <c r="P162" s="323" t="s">
        <v>42</v>
      </c>
      <c r="Q162" s="5"/>
      <c r="R162" s="262">
        <v>3</v>
      </c>
      <c r="S162" s="323">
        <v>0</v>
      </c>
      <c r="T162" s="323">
        <v>0</v>
      </c>
      <c r="U162" s="325" t="s">
        <v>34</v>
      </c>
      <c r="V162" s="4" t="s">
        <v>35</v>
      </c>
      <c r="W162" s="134" t="s">
        <v>43</v>
      </c>
      <c r="X162" s="134" t="s">
        <v>43</v>
      </c>
      <c r="Y162" s="134" t="s">
        <v>43</v>
      </c>
      <c r="Z162" s="64"/>
      <c r="AA162" s="62">
        <f t="shared" si="17"/>
        <v>6.9767441860465115E-2</v>
      </c>
      <c r="AB162" s="134" t="s">
        <v>43</v>
      </c>
      <c r="AC162" s="134" t="s">
        <v>43</v>
      </c>
      <c r="AD162" s="66">
        <f t="shared" si="18"/>
        <v>6.9767441860465115E-2</v>
      </c>
      <c r="AE162" s="74">
        <v>0</v>
      </c>
      <c r="AF162" s="14">
        <v>0</v>
      </c>
      <c r="AG162" s="74">
        <v>1</v>
      </c>
      <c r="AH162" s="14">
        <v>0</v>
      </c>
      <c r="AI162" s="74">
        <v>0</v>
      </c>
    </row>
    <row r="163" spans="1:35" s="4" customFormat="1">
      <c r="A163" s="1"/>
      <c r="B163" s="2"/>
      <c r="C163" s="17"/>
      <c r="D163" s="17"/>
      <c r="E163" s="17" t="s">
        <v>28</v>
      </c>
      <c r="F163" s="309" t="s">
        <v>42</v>
      </c>
      <c r="G163" s="309" t="s">
        <v>42</v>
      </c>
      <c r="H163" s="309" t="s">
        <v>42</v>
      </c>
      <c r="I163" s="5"/>
      <c r="J163" s="309">
        <v>0</v>
      </c>
      <c r="K163" s="309">
        <v>0</v>
      </c>
      <c r="L163" s="309">
        <v>0</v>
      </c>
      <c r="M163" s="5"/>
      <c r="N163" s="72">
        <v>43</v>
      </c>
      <c r="O163" s="309" t="s">
        <v>42</v>
      </c>
      <c r="P163" s="309" t="s">
        <v>42</v>
      </c>
      <c r="Q163" s="5"/>
      <c r="R163" s="262">
        <v>1</v>
      </c>
      <c r="S163" s="309">
        <v>0</v>
      </c>
      <c r="T163" s="309">
        <v>0</v>
      </c>
      <c r="U163" s="98"/>
      <c r="W163" s="134" t="s">
        <v>43</v>
      </c>
      <c r="X163" s="134" t="s">
        <v>43</v>
      </c>
      <c r="Y163" s="134" t="s">
        <v>43</v>
      </c>
      <c r="Z163" s="64"/>
      <c r="AA163" s="62">
        <f t="shared" si="17"/>
        <v>2.2727272727272728E-2</v>
      </c>
      <c r="AB163" s="134" t="s">
        <v>43</v>
      </c>
      <c r="AC163" s="134" t="s">
        <v>43</v>
      </c>
      <c r="AD163" s="66">
        <f t="shared" si="18"/>
        <v>2.2727272727272728E-2</v>
      </c>
      <c r="AE163" s="74"/>
      <c r="AF163" s="14"/>
      <c r="AG163" s="74"/>
      <c r="AH163" s="14"/>
      <c r="AI163" s="74"/>
    </row>
    <row r="164" spans="1:35" s="4" customFormat="1">
      <c r="A164" s="1"/>
      <c r="B164" s="2"/>
      <c r="C164" s="17"/>
      <c r="D164" s="17"/>
      <c r="E164" s="17" t="s">
        <v>29</v>
      </c>
      <c r="F164" s="309" t="s">
        <v>42</v>
      </c>
      <c r="G164" s="309" t="s">
        <v>42</v>
      </c>
      <c r="H164" s="309" t="s">
        <v>42</v>
      </c>
      <c r="I164" s="5"/>
      <c r="J164" s="309">
        <v>0</v>
      </c>
      <c r="K164" s="309">
        <v>0</v>
      </c>
      <c r="L164" s="309">
        <v>0</v>
      </c>
      <c r="M164" s="5"/>
      <c r="N164" s="72">
        <v>65</v>
      </c>
      <c r="O164" s="309" t="s">
        <v>42</v>
      </c>
      <c r="P164" s="309" t="s">
        <v>42</v>
      </c>
      <c r="Q164" s="5"/>
      <c r="R164" s="262">
        <v>0</v>
      </c>
      <c r="S164" s="309">
        <v>0</v>
      </c>
      <c r="T164" s="309">
        <v>0</v>
      </c>
      <c r="U164" s="98"/>
      <c r="W164" s="134" t="s">
        <v>43</v>
      </c>
      <c r="X164" s="134" t="s">
        <v>43</v>
      </c>
      <c r="Y164" s="134" t="s">
        <v>43</v>
      </c>
      <c r="Z164" s="64"/>
      <c r="AA164" s="62">
        <f t="shared" si="17"/>
        <v>0</v>
      </c>
      <c r="AB164" s="134" t="s">
        <v>43</v>
      </c>
      <c r="AC164" s="134" t="s">
        <v>43</v>
      </c>
      <c r="AD164" s="66">
        <f t="shared" si="18"/>
        <v>0</v>
      </c>
      <c r="AE164" s="74"/>
      <c r="AF164" s="14"/>
      <c r="AG164" s="74"/>
      <c r="AH164" s="14"/>
      <c r="AI164" s="74"/>
    </row>
    <row r="165" spans="1:35" s="78" customFormat="1">
      <c r="A165" s="75"/>
      <c r="B165" s="76"/>
      <c r="C165" s="77"/>
      <c r="D165" s="77"/>
      <c r="E165" s="77" t="s">
        <v>30</v>
      </c>
      <c r="F165" s="310" t="s">
        <v>42</v>
      </c>
      <c r="G165" s="310" t="s">
        <v>42</v>
      </c>
      <c r="H165" s="310" t="s">
        <v>42</v>
      </c>
      <c r="I165" s="81"/>
      <c r="J165" s="310">
        <v>0</v>
      </c>
      <c r="K165" s="310">
        <v>0</v>
      </c>
      <c r="L165" s="310">
        <v>0</v>
      </c>
      <c r="M165" s="81"/>
      <c r="N165" s="83">
        <v>52</v>
      </c>
      <c r="O165" s="310" t="s">
        <v>42</v>
      </c>
      <c r="P165" s="310" t="s">
        <v>42</v>
      </c>
      <c r="Q165" s="81"/>
      <c r="R165" s="263">
        <v>0</v>
      </c>
      <c r="S165" s="310">
        <v>0</v>
      </c>
      <c r="T165" s="310">
        <v>0</v>
      </c>
      <c r="U165" s="106"/>
      <c r="W165" s="147" t="s">
        <v>43</v>
      </c>
      <c r="X165" s="147" t="s">
        <v>43</v>
      </c>
      <c r="Y165" s="147" t="s">
        <v>43</v>
      </c>
      <c r="Z165" s="283"/>
      <c r="AA165" s="86">
        <f t="shared" si="17"/>
        <v>0</v>
      </c>
      <c r="AB165" s="147" t="s">
        <v>43</v>
      </c>
      <c r="AC165" s="147" t="s">
        <v>43</v>
      </c>
      <c r="AD165" s="284">
        <f t="shared" si="18"/>
        <v>0</v>
      </c>
      <c r="AE165" s="91"/>
      <c r="AF165" s="92"/>
      <c r="AG165" s="91"/>
      <c r="AH165" s="92"/>
      <c r="AI165" s="91"/>
    </row>
    <row r="166" spans="1:35" s="65" customFormat="1">
      <c r="A166" s="1"/>
      <c r="B166" s="2">
        <v>9</v>
      </c>
      <c r="C166" s="17" t="s">
        <v>23</v>
      </c>
      <c r="D166" s="126" t="s">
        <v>24</v>
      </c>
      <c r="E166" s="17" t="s">
        <v>25</v>
      </c>
      <c r="F166" s="65">
        <f>(42+37)/2</f>
        <v>39.5</v>
      </c>
      <c r="G166" s="93">
        <f>(54+50)/2</f>
        <v>52</v>
      </c>
      <c r="H166" s="94">
        <f>(57+54)/2</f>
        <v>55.5</v>
      </c>
      <c r="I166" s="95"/>
      <c r="J166" s="96">
        <v>2</v>
      </c>
      <c r="K166" s="95">
        <v>2</v>
      </c>
      <c r="L166" s="93">
        <v>1</v>
      </c>
      <c r="M166" s="95"/>
      <c r="N166" s="97">
        <f>(54+44)/2</f>
        <v>49</v>
      </c>
      <c r="O166" s="96">
        <f>(33+31)/2</f>
        <v>32</v>
      </c>
      <c r="P166" s="94">
        <f>(57+44)/2</f>
        <v>50.5</v>
      </c>
      <c r="Q166" s="95"/>
      <c r="R166" s="62">
        <v>5</v>
      </c>
      <c r="S166" s="95">
        <v>2</v>
      </c>
      <c r="T166" s="93">
        <v>3</v>
      </c>
      <c r="U166" s="98" t="s">
        <v>34</v>
      </c>
      <c r="V166" s="4" t="s">
        <v>35</v>
      </c>
      <c r="W166" s="61">
        <f t="shared" si="16"/>
        <v>4.8192771084337352E-2</v>
      </c>
      <c r="X166" s="62">
        <f t="shared" si="16"/>
        <v>3.7037037037037035E-2</v>
      </c>
      <c r="Y166" s="63">
        <f t="shared" si="16"/>
        <v>1.7699115044247787E-2</v>
      </c>
      <c r="Z166" s="64">
        <f t="shared" si="14"/>
        <v>3.4309641055207389E-2</v>
      </c>
      <c r="AA166" s="62">
        <f t="shared" si="17"/>
        <v>9.2592592592592587E-2</v>
      </c>
      <c r="AB166" s="65">
        <f t="shared" si="17"/>
        <v>5.8823529411764705E-2</v>
      </c>
      <c r="AC166" s="62">
        <f t="shared" si="17"/>
        <v>5.6074766355140186E-2</v>
      </c>
      <c r="AD166" s="66">
        <f t="shared" si="18"/>
        <v>6.9163629453165829E-2</v>
      </c>
      <c r="AE166" s="99">
        <v>1</v>
      </c>
      <c r="AF166" s="100">
        <v>0</v>
      </c>
      <c r="AG166" s="99">
        <v>0</v>
      </c>
      <c r="AH166" s="100">
        <v>1</v>
      </c>
      <c r="AI166" s="99">
        <v>0</v>
      </c>
    </row>
    <row r="167" spans="1:35" s="65" customFormat="1">
      <c r="A167" s="1"/>
      <c r="B167" s="2"/>
      <c r="C167" s="17"/>
      <c r="D167" s="17"/>
      <c r="E167" s="17" t="s">
        <v>28</v>
      </c>
      <c r="F167" s="65">
        <f>(42+52)/2</f>
        <v>47</v>
      </c>
      <c r="G167" s="93">
        <f>(51+31)/2</f>
        <v>41</v>
      </c>
      <c r="H167" s="94">
        <f>(53+38)/2</f>
        <v>45.5</v>
      </c>
      <c r="I167" s="95"/>
      <c r="J167" s="96">
        <v>1</v>
      </c>
      <c r="K167" s="95">
        <v>2</v>
      </c>
      <c r="L167" s="93">
        <v>1</v>
      </c>
      <c r="M167" s="95"/>
      <c r="N167" s="97">
        <f>(42+21)/2</f>
        <v>31.5</v>
      </c>
      <c r="O167" s="96">
        <f>(30+19)/2</f>
        <v>24.5</v>
      </c>
      <c r="P167" s="94">
        <f>(39+28)/2</f>
        <v>33.5</v>
      </c>
      <c r="Q167" s="95"/>
      <c r="R167" s="62">
        <v>6</v>
      </c>
      <c r="S167" s="95">
        <v>1</v>
      </c>
      <c r="T167" s="93">
        <v>2</v>
      </c>
      <c r="U167" s="98"/>
      <c r="W167" s="61">
        <f t="shared" si="16"/>
        <v>2.0833333333333332E-2</v>
      </c>
      <c r="X167" s="62">
        <f t="shared" si="16"/>
        <v>4.6511627906976744E-2</v>
      </c>
      <c r="Y167" s="63">
        <f t="shared" si="16"/>
        <v>2.1505376344086023E-2</v>
      </c>
      <c r="Z167" s="64">
        <f t="shared" si="14"/>
        <v>2.9616779194798697E-2</v>
      </c>
      <c r="AA167" s="62">
        <f t="shared" si="17"/>
        <v>0.16</v>
      </c>
      <c r="AB167" s="65">
        <f t="shared" si="17"/>
        <v>3.9215686274509803E-2</v>
      </c>
      <c r="AC167" s="62">
        <f t="shared" si="17"/>
        <v>5.6338028169014086E-2</v>
      </c>
      <c r="AD167" s="66">
        <f t="shared" si="18"/>
        <v>8.5184571481174629E-2</v>
      </c>
      <c r="AE167" s="99"/>
      <c r="AF167" s="100"/>
      <c r="AG167" s="99"/>
      <c r="AH167" s="100"/>
      <c r="AI167" s="99"/>
    </row>
    <row r="168" spans="1:35" s="65" customFormat="1">
      <c r="A168" s="1"/>
      <c r="B168" s="2"/>
      <c r="C168" s="17"/>
      <c r="D168" s="17"/>
      <c r="E168" s="17" t="s">
        <v>29</v>
      </c>
      <c r="F168" s="65">
        <f>(36+23)/2</f>
        <v>29.5</v>
      </c>
      <c r="G168" s="93">
        <f>(43+34)/2</f>
        <v>38.5</v>
      </c>
      <c r="H168" s="94">
        <f>(44+26)/2</f>
        <v>35</v>
      </c>
      <c r="I168" s="95"/>
      <c r="J168" s="96">
        <v>1</v>
      </c>
      <c r="K168" s="95">
        <v>4</v>
      </c>
      <c r="L168" s="93">
        <v>2</v>
      </c>
      <c r="M168" s="95"/>
      <c r="N168" s="97">
        <f>(60+62)/2</f>
        <v>61</v>
      </c>
      <c r="O168" s="96">
        <f>(41+44)/2</f>
        <v>42.5</v>
      </c>
      <c r="P168" s="94">
        <f>(49+33)/2</f>
        <v>41</v>
      </c>
      <c r="Q168" s="95"/>
      <c r="R168" s="62">
        <v>2</v>
      </c>
      <c r="S168" s="95">
        <v>2</v>
      </c>
      <c r="T168" s="93">
        <v>2</v>
      </c>
      <c r="U168" s="98"/>
      <c r="W168" s="61">
        <f t="shared" si="16"/>
        <v>3.2786885245901641E-2</v>
      </c>
      <c r="X168" s="62">
        <f t="shared" si="16"/>
        <v>9.4117647058823528E-2</v>
      </c>
      <c r="Y168" s="63">
        <f t="shared" si="16"/>
        <v>5.4054054054054057E-2</v>
      </c>
      <c r="Z168" s="64">
        <f t="shared" si="14"/>
        <v>6.0319528786259742E-2</v>
      </c>
      <c r="AA168" s="62">
        <f t="shared" si="17"/>
        <v>3.1746031746031744E-2</v>
      </c>
      <c r="AB168" s="65">
        <f t="shared" si="17"/>
        <v>4.49438202247191E-2</v>
      </c>
      <c r="AC168" s="62">
        <f t="shared" si="17"/>
        <v>4.6511627906976744E-2</v>
      </c>
      <c r="AD168" s="66">
        <f t="shared" si="18"/>
        <v>4.1067159959242532E-2</v>
      </c>
      <c r="AE168" s="99"/>
      <c r="AF168" s="100"/>
      <c r="AG168" s="99"/>
      <c r="AH168" s="100"/>
      <c r="AI168" s="99"/>
    </row>
    <row r="169" spans="1:35" s="89" customFormat="1">
      <c r="A169" s="75"/>
      <c r="B169" s="76"/>
      <c r="C169" s="124"/>
      <c r="D169" s="124"/>
      <c r="E169" s="77" t="s">
        <v>30</v>
      </c>
      <c r="F169" s="89">
        <f>(32+23)/2</f>
        <v>27.5</v>
      </c>
      <c r="G169" s="101">
        <f>(48+25)/2</f>
        <v>36.5</v>
      </c>
      <c r="H169" s="102">
        <f>(38+28)/2</f>
        <v>33</v>
      </c>
      <c r="I169" s="103"/>
      <c r="J169" s="104">
        <v>3</v>
      </c>
      <c r="K169" s="103">
        <v>0</v>
      </c>
      <c r="L169" s="101">
        <v>0</v>
      </c>
      <c r="M169" s="103"/>
      <c r="N169" s="105">
        <f>(63+33)/2</f>
        <v>48</v>
      </c>
      <c r="O169" s="104">
        <f>(45+28)/2</f>
        <v>36.5</v>
      </c>
      <c r="P169" s="102">
        <f>(39+29)/2</f>
        <v>34</v>
      </c>
      <c r="Q169" s="103"/>
      <c r="R169" s="86">
        <v>5</v>
      </c>
      <c r="S169" s="103">
        <v>1</v>
      </c>
      <c r="T169" s="101">
        <v>5</v>
      </c>
      <c r="U169" s="106"/>
      <c r="W169" s="85">
        <f t="shared" si="16"/>
        <v>9.8360655737704916E-2</v>
      </c>
      <c r="X169" s="86">
        <f t="shared" si="16"/>
        <v>0</v>
      </c>
      <c r="Y169" s="87">
        <f t="shared" si="16"/>
        <v>0</v>
      </c>
      <c r="Z169" s="283">
        <f t="shared" si="14"/>
        <v>3.2786885245901641E-2</v>
      </c>
      <c r="AA169" s="86">
        <f t="shared" si="17"/>
        <v>9.4339622641509441E-2</v>
      </c>
      <c r="AB169" s="89">
        <f t="shared" si="17"/>
        <v>2.6666666666666668E-2</v>
      </c>
      <c r="AC169" s="86">
        <f t="shared" si="17"/>
        <v>0.12820512820512819</v>
      </c>
      <c r="AD169" s="284">
        <f t="shared" si="18"/>
        <v>8.3070472504434764E-2</v>
      </c>
      <c r="AE169" s="107"/>
      <c r="AF169" s="108"/>
      <c r="AG169" s="107"/>
      <c r="AH169" s="108"/>
      <c r="AI169" s="107"/>
    </row>
    <row r="170" spans="1:35" s="65" customFormat="1">
      <c r="A170" s="1"/>
      <c r="B170" s="2">
        <v>21</v>
      </c>
      <c r="C170" s="3" t="s">
        <v>36</v>
      </c>
      <c r="D170" s="17" t="s">
        <v>37</v>
      </c>
      <c r="E170" s="17" t="s">
        <v>25</v>
      </c>
      <c r="F170" s="323" t="s">
        <v>42</v>
      </c>
      <c r="G170" s="323" t="s">
        <v>42</v>
      </c>
      <c r="H170" s="323" t="s">
        <v>42</v>
      </c>
      <c r="I170" s="95"/>
      <c r="J170" s="324">
        <v>0</v>
      </c>
      <c r="K170" s="324">
        <v>0</v>
      </c>
      <c r="L170" s="324">
        <v>0</v>
      </c>
      <c r="M170" s="95"/>
      <c r="N170" s="97">
        <v>68</v>
      </c>
      <c r="O170" s="323" t="s">
        <v>42</v>
      </c>
      <c r="P170" s="323" t="s">
        <v>42</v>
      </c>
      <c r="Q170" s="95"/>
      <c r="R170" s="62">
        <v>0</v>
      </c>
      <c r="S170" s="323">
        <v>0</v>
      </c>
      <c r="T170" s="323">
        <v>0</v>
      </c>
      <c r="U170" s="325" t="s">
        <v>34</v>
      </c>
      <c r="V170" s="4" t="s">
        <v>35</v>
      </c>
      <c r="W170" s="134" t="s">
        <v>43</v>
      </c>
      <c r="X170" s="134" t="s">
        <v>43</v>
      </c>
      <c r="Y170" s="134" t="s">
        <v>43</v>
      </c>
      <c r="Z170" s="64"/>
      <c r="AA170" s="62">
        <f t="shared" si="17"/>
        <v>0</v>
      </c>
      <c r="AB170" s="134" t="s">
        <v>43</v>
      </c>
      <c r="AC170" s="134" t="s">
        <v>43</v>
      </c>
      <c r="AD170" s="66">
        <f t="shared" si="18"/>
        <v>0</v>
      </c>
      <c r="AE170" s="99">
        <v>0</v>
      </c>
      <c r="AF170" s="100">
        <v>0</v>
      </c>
      <c r="AG170" s="99">
        <v>1</v>
      </c>
      <c r="AH170" s="100">
        <v>0</v>
      </c>
      <c r="AI170" s="99">
        <v>0</v>
      </c>
    </row>
    <row r="171" spans="1:35" s="65" customFormat="1">
      <c r="A171" s="1"/>
      <c r="B171" s="2"/>
      <c r="C171" s="3"/>
      <c r="D171" s="3"/>
      <c r="E171" s="17" t="s">
        <v>28</v>
      </c>
      <c r="F171" s="309" t="s">
        <v>42</v>
      </c>
      <c r="G171" s="309" t="s">
        <v>42</v>
      </c>
      <c r="H171" s="309" t="s">
        <v>42</v>
      </c>
      <c r="I171" s="95"/>
      <c r="J171" s="309">
        <v>0</v>
      </c>
      <c r="K171" s="309">
        <v>0</v>
      </c>
      <c r="L171" s="309">
        <v>0</v>
      </c>
      <c r="M171" s="95"/>
      <c r="N171" s="97">
        <v>52</v>
      </c>
      <c r="O171" s="309" t="s">
        <v>42</v>
      </c>
      <c r="P171" s="309" t="s">
        <v>42</v>
      </c>
      <c r="Q171" s="95"/>
      <c r="R171" s="62">
        <v>1</v>
      </c>
      <c r="S171" s="309">
        <v>0</v>
      </c>
      <c r="T171" s="309">
        <v>0</v>
      </c>
      <c r="U171" s="98"/>
      <c r="W171" s="134" t="s">
        <v>43</v>
      </c>
      <c r="X171" s="134" t="s">
        <v>43</v>
      </c>
      <c r="Y171" s="134" t="s">
        <v>43</v>
      </c>
      <c r="Z171" s="64"/>
      <c r="AA171" s="62">
        <f t="shared" si="17"/>
        <v>1.8867924528301886E-2</v>
      </c>
      <c r="AB171" s="134" t="s">
        <v>43</v>
      </c>
      <c r="AC171" s="134" t="s">
        <v>43</v>
      </c>
      <c r="AD171" s="66">
        <f t="shared" si="18"/>
        <v>1.8867924528301886E-2</v>
      </c>
      <c r="AE171" s="99"/>
      <c r="AF171" s="100"/>
      <c r="AG171" s="99"/>
      <c r="AH171" s="100"/>
      <c r="AI171" s="99"/>
    </row>
    <row r="172" spans="1:35" s="65" customFormat="1">
      <c r="A172" s="1"/>
      <c r="B172" s="2"/>
      <c r="C172" s="3"/>
      <c r="D172" s="3"/>
      <c r="E172" s="17" t="s">
        <v>29</v>
      </c>
      <c r="F172" s="309" t="s">
        <v>42</v>
      </c>
      <c r="G172" s="309" t="s">
        <v>42</v>
      </c>
      <c r="H172" s="309" t="s">
        <v>42</v>
      </c>
      <c r="I172" s="95"/>
      <c r="J172" s="309">
        <v>0</v>
      </c>
      <c r="K172" s="309">
        <v>0</v>
      </c>
      <c r="L172" s="309">
        <v>0</v>
      </c>
      <c r="M172" s="95"/>
      <c r="N172" s="97">
        <v>93</v>
      </c>
      <c r="O172" s="309" t="s">
        <v>42</v>
      </c>
      <c r="P172" s="309" t="s">
        <v>42</v>
      </c>
      <c r="Q172" s="95"/>
      <c r="R172" s="62">
        <v>0</v>
      </c>
      <c r="S172" s="309">
        <v>0</v>
      </c>
      <c r="T172" s="309">
        <v>0</v>
      </c>
      <c r="U172" s="98"/>
      <c r="W172" s="134" t="s">
        <v>43</v>
      </c>
      <c r="X172" s="134" t="s">
        <v>43</v>
      </c>
      <c r="Y172" s="134" t="s">
        <v>43</v>
      </c>
      <c r="Z172" s="64"/>
      <c r="AA172" s="62">
        <f t="shared" si="17"/>
        <v>0</v>
      </c>
      <c r="AB172" s="134" t="s">
        <v>43</v>
      </c>
      <c r="AC172" s="134" t="s">
        <v>43</v>
      </c>
      <c r="AD172" s="66">
        <f t="shared" si="18"/>
        <v>0</v>
      </c>
      <c r="AE172" s="99"/>
      <c r="AF172" s="100"/>
      <c r="AG172" s="99"/>
      <c r="AH172" s="100"/>
      <c r="AI172" s="99"/>
    </row>
    <row r="173" spans="1:35" s="89" customFormat="1">
      <c r="A173" s="75"/>
      <c r="B173" s="76"/>
      <c r="C173" s="124"/>
      <c r="D173" s="124"/>
      <c r="E173" s="77" t="s">
        <v>30</v>
      </c>
      <c r="F173" s="310" t="s">
        <v>42</v>
      </c>
      <c r="G173" s="310" t="s">
        <v>42</v>
      </c>
      <c r="H173" s="310" t="s">
        <v>42</v>
      </c>
      <c r="I173" s="103"/>
      <c r="J173" s="310">
        <v>0</v>
      </c>
      <c r="K173" s="310">
        <v>0</v>
      </c>
      <c r="L173" s="310">
        <v>0</v>
      </c>
      <c r="M173" s="103"/>
      <c r="N173" s="105">
        <v>72</v>
      </c>
      <c r="O173" s="310" t="s">
        <v>42</v>
      </c>
      <c r="P173" s="310" t="s">
        <v>42</v>
      </c>
      <c r="Q173" s="103"/>
      <c r="R173" s="86">
        <v>1</v>
      </c>
      <c r="S173" s="310">
        <v>0</v>
      </c>
      <c r="T173" s="310">
        <v>0</v>
      </c>
      <c r="U173" s="106"/>
      <c r="W173" s="147" t="s">
        <v>43</v>
      </c>
      <c r="X173" s="147" t="s">
        <v>43</v>
      </c>
      <c r="Y173" s="147" t="s">
        <v>43</v>
      </c>
      <c r="Z173" s="283"/>
      <c r="AA173" s="86">
        <f t="shared" si="17"/>
        <v>1.3698630136986301E-2</v>
      </c>
      <c r="AB173" s="147" t="s">
        <v>43</v>
      </c>
      <c r="AC173" s="147" t="s">
        <v>43</v>
      </c>
      <c r="AD173" s="284">
        <f t="shared" si="18"/>
        <v>1.3698630136986301E-2</v>
      </c>
      <c r="AE173" s="107"/>
      <c r="AF173" s="108"/>
      <c r="AG173" s="107"/>
      <c r="AH173" s="108"/>
      <c r="AI173" s="107"/>
    </row>
    <row r="174" spans="1:35" s="65" customFormat="1">
      <c r="A174" s="1"/>
      <c r="B174" s="2">
        <v>23</v>
      </c>
      <c r="C174" s="3" t="s">
        <v>31</v>
      </c>
      <c r="D174" s="17" t="s">
        <v>32</v>
      </c>
      <c r="E174" s="17" t="s">
        <v>25</v>
      </c>
      <c r="F174" s="323" t="s">
        <v>42</v>
      </c>
      <c r="G174" s="323" t="s">
        <v>42</v>
      </c>
      <c r="H174" s="323" t="s">
        <v>42</v>
      </c>
      <c r="I174" s="95"/>
      <c r="J174" s="324">
        <v>0</v>
      </c>
      <c r="K174" s="324">
        <v>0</v>
      </c>
      <c r="L174" s="324">
        <v>0</v>
      </c>
      <c r="M174" s="95"/>
      <c r="N174" s="323" t="s">
        <v>42</v>
      </c>
      <c r="O174" s="96">
        <v>40</v>
      </c>
      <c r="P174" s="323" t="s">
        <v>42</v>
      </c>
      <c r="Q174" s="95"/>
      <c r="R174" s="323">
        <v>0</v>
      </c>
      <c r="S174" s="95">
        <v>0</v>
      </c>
      <c r="T174" s="323">
        <v>0</v>
      </c>
      <c r="U174" s="325" t="s">
        <v>34</v>
      </c>
      <c r="V174" s="4" t="s">
        <v>35</v>
      </c>
      <c r="W174" s="134" t="s">
        <v>43</v>
      </c>
      <c r="X174" s="134" t="s">
        <v>43</v>
      </c>
      <c r="Y174" s="134" t="s">
        <v>43</v>
      </c>
      <c r="Z174" s="64"/>
      <c r="AA174" s="134" t="s">
        <v>43</v>
      </c>
      <c r="AB174" s="65">
        <f t="shared" si="17"/>
        <v>0</v>
      </c>
      <c r="AC174" s="134" t="s">
        <v>43</v>
      </c>
      <c r="AD174" s="66">
        <f t="shared" si="18"/>
        <v>0</v>
      </c>
      <c r="AE174" s="99">
        <v>0</v>
      </c>
      <c r="AF174" s="100">
        <v>0</v>
      </c>
      <c r="AG174" s="99">
        <v>1</v>
      </c>
      <c r="AH174" s="100">
        <v>0</v>
      </c>
      <c r="AI174" s="99">
        <v>0</v>
      </c>
    </row>
    <row r="175" spans="1:35" s="65" customFormat="1">
      <c r="A175" s="1"/>
      <c r="B175" s="2"/>
      <c r="C175" s="3"/>
      <c r="D175" s="3"/>
      <c r="E175" s="17" t="s">
        <v>28</v>
      </c>
      <c r="F175" s="309" t="s">
        <v>42</v>
      </c>
      <c r="G175" s="309" t="s">
        <v>42</v>
      </c>
      <c r="H175" s="309" t="s">
        <v>42</v>
      </c>
      <c r="I175" s="95"/>
      <c r="J175" s="309">
        <v>0</v>
      </c>
      <c r="K175" s="309">
        <v>0</v>
      </c>
      <c r="L175" s="309">
        <v>0</v>
      </c>
      <c r="M175" s="95"/>
      <c r="N175" s="309" t="s">
        <v>42</v>
      </c>
      <c r="O175" s="96">
        <v>27</v>
      </c>
      <c r="P175" s="309" t="s">
        <v>42</v>
      </c>
      <c r="Q175" s="95"/>
      <c r="R175" s="309">
        <v>0</v>
      </c>
      <c r="S175" s="95">
        <v>0</v>
      </c>
      <c r="T175" s="309">
        <v>0</v>
      </c>
      <c r="U175" s="98"/>
      <c r="W175" s="134" t="s">
        <v>43</v>
      </c>
      <c r="X175" s="134" t="s">
        <v>43</v>
      </c>
      <c r="Y175" s="134" t="s">
        <v>43</v>
      </c>
      <c r="Z175" s="64"/>
      <c r="AA175" s="134" t="s">
        <v>43</v>
      </c>
      <c r="AB175" s="65">
        <f t="shared" si="17"/>
        <v>0</v>
      </c>
      <c r="AC175" s="134" t="s">
        <v>43</v>
      </c>
      <c r="AD175" s="66">
        <f t="shared" si="18"/>
        <v>0</v>
      </c>
      <c r="AE175" s="99"/>
      <c r="AF175" s="100"/>
      <c r="AG175" s="99"/>
      <c r="AH175" s="100"/>
      <c r="AI175" s="99"/>
    </row>
    <row r="176" spans="1:35" s="65" customFormat="1">
      <c r="A176" s="1"/>
      <c r="B176" s="2"/>
      <c r="C176" s="3"/>
      <c r="D176" s="3"/>
      <c r="E176" s="17" t="s">
        <v>29</v>
      </c>
      <c r="F176" s="309" t="s">
        <v>42</v>
      </c>
      <c r="G176" s="309" t="s">
        <v>42</v>
      </c>
      <c r="H176" s="309" t="s">
        <v>42</v>
      </c>
      <c r="I176" s="95"/>
      <c r="J176" s="309">
        <v>0</v>
      </c>
      <c r="K176" s="309">
        <v>0</v>
      </c>
      <c r="L176" s="309">
        <v>0</v>
      </c>
      <c r="M176" s="95"/>
      <c r="N176" s="309" t="s">
        <v>42</v>
      </c>
      <c r="O176" s="96">
        <v>57</v>
      </c>
      <c r="P176" s="309" t="s">
        <v>42</v>
      </c>
      <c r="Q176" s="95"/>
      <c r="R176" s="309">
        <v>0</v>
      </c>
      <c r="S176" s="95">
        <v>1</v>
      </c>
      <c r="T176" s="309">
        <v>0</v>
      </c>
      <c r="U176" s="98"/>
      <c r="W176" s="134" t="s">
        <v>43</v>
      </c>
      <c r="X176" s="134" t="s">
        <v>43</v>
      </c>
      <c r="Y176" s="134" t="s">
        <v>43</v>
      </c>
      <c r="Z176" s="64"/>
      <c r="AA176" s="134" t="s">
        <v>43</v>
      </c>
      <c r="AB176" s="65">
        <f t="shared" si="17"/>
        <v>1.7241379310344827E-2</v>
      </c>
      <c r="AC176" s="134" t="s">
        <v>43</v>
      </c>
      <c r="AD176" s="66">
        <f t="shared" si="18"/>
        <v>1.7241379310344827E-2</v>
      </c>
      <c r="AE176" s="99"/>
      <c r="AF176" s="100"/>
      <c r="AG176" s="99"/>
      <c r="AH176" s="100"/>
      <c r="AI176" s="99"/>
    </row>
    <row r="177" spans="1:35" s="89" customFormat="1">
      <c r="A177" s="75"/>
      <c r="B177" s="76"/>
      <c r="C177" s="124"/>
      <c r="D177" s="124"/>
      <c r="E177" s="77" t="s">
        <v>30</v>
      </c>
      <c r="F177" s="310" t="s">
        <v>42</v>
      </c>
      <c r="G177" s="310" t="s">
        <v>42</v>
      </c>
      <c r="H177" s="310" t="s">
        <v>42</v>
      </c>
      <c r="I177" s="103"/>
      <c r="J177" s="310">
        <v>0</v>
      </c>
      <c r="K177" s="310">
        <v>0</v>
      </c>
      <c r="L177" s="310">
        <v>0</v>
      </c>
      <c r="M177" s="103"/>
      <c r="N177" s="310" t="s">
        <v>42</v>
      </c>
      <c r="O177" s="104">
        <v>25</v>
      </c>
      <c r="P177" s="310" t="s">
        <v>42</v>
      </c>
      <c r="Q177" s="103"/>
      <c r="R177" s="310">
        <v>0</v>
      </c>
      <c r="S177" s="103">
        <v>1</v>
      </c>
      <c r="T177" s="310">
        <v>0</v>
      </c>
      <c r="U177" s="106"/>
      <c r="W177" s="147" t="s">
        <v>43</v>
      </c>
      <c r="X177" s="147" t="s">
        <v>43</v>
      </c>
      <c r="Y177" s="147" t="s">
        <v>43</v>
      </c>
      <c r="Z177" s="283"/>
      <c r="AA177" s="147" t="s">
        <v>43</v>
      </c>
      <c r="AB177" s="89">
        <f t="shared" si="17"/>
        <v>3.8461538461538464E-2</v>
      </c>
      <c r="AC177" s="147" t="s">
        <v>43</v>
      </c>
      <c r="AD177" s="284">
        <f t="shared" si="18"/>
        <v>3.8461538461538464E-2</v>
      </c>
      <c r="AE177" s="107"/>
      <c r="AF177" s="108"/>
      <c r="AG177" s="107"/>
      <c r="AH177" s="108"/>
      <c r="AI177" s="107"/>
    </row>
    <row r="178" spans="1:35" s="4" customFormat="1">
      <c r="A178" s="1"/>
      <c r="B178" s="2">
        <v>23</v>
      </c>
      <c r="C178" s="17" t="s">
        <v>23</v>
      </c>
      <c r="D178" s="126" t="s">
        <v>24</v>
      </c>
      <c r="E178" s="17" t="s">
        <v>25</v>
      </c>
      <c r="F178" s="4">
        <f>(101+39)/2</f>
        <v>70</v>
      </c>
      <c r="G178" s="69">
        <f>(137+33)/2</f>
        <v>85</v>
      </c>
      <c r="H178" s="70">
        <v>138</v>
      </c>
      <c r="I178" s="5"/>
      <c r="J178" s="71">
        <v>4</v>
      </c>
      <c r="K178" s="5">
        <v>1</v>
      </c>
      <c r="L178" s="69">
        <v>0</v>
      </c>
      <c r="M178" s="5"/>
      <c r="N178" s="72">
        <f>(98+34)/2</f>
        <v>66</v>
      </c>
      <c r="O178" s="326" t="s">
        <v>42</v>
      </c>
      <c r="P178" s="70">
        <f>(143+40)/2</f>
        <v>91.5</v>
      </c>
      <c r="Q178" s="5"/>
      <c r="R178" s="17">
        <v>3</v>
      </c>
      <c r="S178" s="326">
        <v>0</v>
      </c>
      <c r="T178" s="69">
        <v>9</v>
      </c>
      <c r="U178" s="73" t="s">
        <v>34</v>
      </c>
      <c r="V178" s="4" t="s">
        <v>35</v>
      </c>
      <c r="W178" s="327">
        <f t="shared" si="16"/>
        <v>5.4054054054054057E-2</v>
      </c>
      <c r="X178" s="261">
        <f t="shared" si="16"/>
        <v>1.1627906976744186E-2</v>
      </c>
      <c r="Y178" s="328">
        <f t="shared" si="16"/>
        <v>0</v>
      </c>
      <c r="Z178" s="64">
        <f t="shared" ref="Z178:Z241" si="19">AVERAGE(W178:Y178)</f>
        <v>2.189398701026608E-2</v>
      </c>
      <c r="AA178" s="62">
        <f t="shared" si="17"/>
        <v>4.3478260869565216E-2</v>
      </c>
      <c r="AB178" s="134" t="s">
        <v>43</v>
      </c>
      <c r="AC178" s="62">
        <f t="shared" si="17"/>
        <v>8.9552238805970144E-2</v>
      </c>
      <c r="AD178" s="66">
        <f t="shared" si="18"/>
        <v>6.6515249837767687E-2</v>
      </c>
      <c r="AE178" s="74">
        <v>1</v>
      </c>
      <c r="AF178" s="14">
        <v>0</v>
      </c>
      <c r="AG178" s="74">
        <v>0</v>
      </c>
      <c r="AH178" s="14">
        <v>0</v>
      </c>
      <c r="AI178" s="74">
        <v>0</v>
      </c>
    </row>
    <row r="179" spans="1:35" s="4" customFormat="1">
      <c r="A179" s="1"/>
      <c r="B179" s="2"/>
      <c r="C179" s="17"/>
      <c r="D179" s="17"/>
      <c r="E179" s="17" t="s">
        <v>28</v>
      </c>
      <c r="F179" s="4">
        <f>(130+48)/2</f>
        <v>89</v>
      </c>
      <c r="G179" s="69">
        <f>(93+31)/2</f>
        <v>62</v>
      </c>
      <c r="H179" s="70">
        <v>115</v>
      </c>
      <c r="I179" s="5"/>
      <c r="J179" s="71">
        <v>0</v>
      </c>
      <c r="K179" s="5">
        <v>0</v>
      </c>
      <c r="L179" s="69">
        <v>5</v>
      </c>
      <c r="M179" s="5"/>
      <c r="N179" s="72">
        <f>(63+28)/2</f>
        <v>45.5</v>
      </c>
      <c r="O179" s="326" t="s">
        <v>42</v>
      </c>
      <c r="P179" s="70">
        <f>(73+29)/2</f>
        <v>51</v>
      </c>
      <c r="Q179" s="5"/>
      <c r="R179" s="17">
        <v>2</v>
      </c>
      <c r="S179" s="326">
        <v>0</v>
      </c>
      <c r="T179" s="69">
        <v>2</v>
      </c>
      <c r="U179" s="73"/>
      <c r="W179" s="61">
        <f t="shared" si="16"/>
        <v>0</v>
      </c>
      <c r="X179" s="62">
        <f t="shared" si="16"/>
        <v>0</v>
      </c>
      <c r="Y179" s="63">
        <f t="shared" si="16"/>
        <v>4.1666666666666664E-2</v>
      </c>
      <c r="Z179" s="64">
        <f t="shared" si="19"/>
        <v>1.3888888888888888E-2</v>
      </c>
      <c r="AA179" s="62">
        <f t="shared" si="17"/>
        <v>4.2105263157894736E-2</v>
      </c>
      <c r="AB179" s="134" t="s">
        <v>43</v>
      </c>
      <c r="AC179" s="62">
        <f t="shared" si="17"/>
        <v>3.7735849056603772E-2</v>
      </c>
      <c r="AD179" s="66">
        <f t="shared" si="18"/>
        <v>3.9920556107249254E-2</v>
      </c>
      <c r="AE179" s="74"/>
      <c r="AF179" s="14"/>
      <c r="AG179" s="74"/>
      <c r="AH179" s="14"/>
      <c r="AI179" s="74"/>
    </row>
    <row r="180" spans="1:35" s="4" customFormat="1">
      <c r="A180" s="1"/>
      <c r="B180" s="2"/>
      <c r="C180" s="17"/>
      <c r="D180" s="17"/>
      <c r="E180" s="17" t="s">
        <v>29</v>
      </c>
      <c r="F180" s="4">
        <f>(41+35)/2</f>
        <v>38</v>
      </c>
      <c r="G180" s="69">
        <f>(59+43)/2</f>
        <v>51</v>
      </c>
      <c r="H180" s="70">
        <v>76</v>
      </c>
      <c r="I180" s="5"/>
      <c r="J180" s="71">
        <v>2</v>
      </c>
      <c r="K180" s="5">
        <v>2</v>
      </c>
      <c r="L180" s="69">
        <v>3</v>
      </c>
      <c r="M180" s="5"/>
      <c r="N180" s="72">
        <f>(118+37)/2</f>
        <v>77.5</v>
      </c>
      <c r="O180" s="326" t="s">
        <v>42</v>
      </c>
      <c r="P180" s="70">
        <f>(121+42)/2</f>
        <v>81.5</v>
      </c>
      <c r="Q180" s="5"/>
      <c r="R180" s="17">
        <v>9</v>
      </c>
      <c r="S180" s="326">
        <v>0</v>
      </c>
      <c r="T180" s="69">
        <v>6</v>
      </c>
      <c r="U180" s="73"/>
      <c r="W180" s="61">
        <f t="shared" si="16"/>
        <v>0.05</v>
      </c>
      <c r="X180" s="62">
        <f t="shared" si="16"/>
        <v>3.7735849056603772E-2</v>
      </c>
      <c r="Y180" s="63">
        <f t="shared" si="16"/>
        <v>3.7974683544303799E-2</v>
      </c>
      <c r="Z180" s="64">
        <f t="shared" si="19"/>
        <v>4.1903510866969196E-2</v>
      </c>
      <c r="AA180" s="62">
        <f t="shared" si="17"/>
        <v>0.10404624277456648</v>
      </c>
      <c r="AB180" s="134" t="s">
        <v>43</v>
      </c>
      <c r="AC180" s="62">
        <f t="shared" si="17"/>
        <v>6.8571428571428575E-2</v>
      </c>
      <c r="AD180" s="66">
        <f t="shared" si="18"/>
        <v>8.6308835672997519E-2</v>
      </c>
      <c r="AE180" s="74"/>
      <c r="AF180" s="14"/>
      <c r="AG180" s="74"/>
      <c r="AH180" s="14"/>
      <c r="AI180" s="74"/>
    </row>
    <row r="181" spans="1:35" s="78" customFormat="1">
      <c r="A181" s="75"/>
      <c r="B181" s="76"/>
      <c r="C181" s="77"/>
      <c r="D181" s="77"/>
      <c r="E181" s="77" t="s">
        <v>30</v>
      </c>
      <c r="F181" s="78">
        <f>(55+26)/2</f>
        <v>40.5</v>
      </c>
      <c r="G181" s="79">
        <f>(50+27)/2</f>
        <v>38.5</v>
      </c>
      <c r="H181" s="80">
        <v>45</v>
      </c>
      <c r="I181" s="81"/>
      <c r="J181" s="82">
        <v>1</v>
      </c>
      <c r="K181" s="81">
        <v>3</v>
      </c>
      <c r="L181" s="79">
        <v>0</v>
      </c>
      <c r="M181" s="81"/>
      <c r="N181" s="83">
        <f>(64+32)/2</f>
        <v>48</v>
      </c>
      <c r="O181" s="329" t="s">
        <v>42</v>
      </c>
      <c r="P181" s="80">
        <f>(54+20)/2</f>
        <v>37</v>
      </c>
      <c r="Q181" s="81"/>
      <c r="R181" s="77">
        <v>0</v>
      </c>
      <c r="S181" s="329">
        <v>0</v>
      </c>
      <c r="T181" s="79">
        <v>0</v>
      </c>
      <c r="U181" s="84"/>
      <c r="W181" s="85">
        <f t="shared" si="16"/>
        <v>2.4096385542168676E-2</v>
      </c>
      <c r="X181" s="86">
        <f t="shared" si="16"/>
        <v>7.2289156626506021E-2</v>
      </c>
      <c r="Y181" s="87">
        <f t="shared" si="16"/>
        <v>0</v>
      </c>
      <c r="Z181" s="283">
        <f t="shared" si="19"/>
        <v>3.2128514056224904E-2</v>
      </c>
      <c r="AA181" s="86">
        <f t="shared" si="17"/>
        <v>0</v>
      </c>
      <c r="AB181" s="147" t="s">
        <v>43</v>
      </c>
      <c r="AC181" s="86">
        <f t="shared" si="17"/>
        <v>0</v>
      </c>
      <c r="AD181" s="284">
        <f t="shared" si="18"/>
        <v>0</v>
      </c>
      <c r="AE181" s="91"/>
      <c r="AF181" s="92"/>
      <c r="AG181" s="91"/>
      <c r="AH181" s="92"/>
      <c r="AI181" s="91"/>
    </row>
    <row r="182" spans="1:35" s="199" customFormat="1" ht="47.25">
      <c r="A182" s="330" t="s">
        <v>78</v>
      </c>
      <c r="B182" s="2">
        <v>3</v>
      </c>
      <c r="C182" s="17" t="s">
        <v>36</v>
      </c>
      <c r="D182" s="17" t="s">
        <v>37</v>
      </c>
      <c r="E182" s="4" t="s">
        <v>64</v>
      </c>
      <c r="G182" s="331"/>
      <c r="H182" s="206"/>
      <c r="I182" s="289"/>
      <c r="J182" s="332"/>
      <c r="K182" s="289"/>
      <c r="L182" s="331"/>
      <c r="M182" s="289"/>
      <c r="N182" s="333"/>
      <c r="O182" s="332"/>
      <c r="P182" s="206"/>
      <c r="Q182" s="289"/>
      <c r="R182" s="191"/>
      <c r="S182" s="289"/>
      <c r="T182" s="331"/>
      <c r="U182" s="290" t="s">
        <v>34</v>
      </c>
      <c r="W182" s="196"/>
      <c r="X182" s="191"/>
      <c r="Y182" s="197"/>
      <c r="Z182" s="270"/>
      <c r="AA182" s="268"/>
      <c r="AB182" s="271"/>
      <c r="AC182" s="268"/>
      <c r="AD182" s="272"/>
      <c r="AE182" s="334">
        <v>0</v>
      </c>
      <c r="AF182" s="335">
        <v>0</v>
      </c>
      <c r="AG182" s="334">
        <v>1</v>
      </c>
      <c r="AH182" s="335">
        <v>0</v>
      </c>
      <c r="AI182" s="334">
        <v>1</v>
      </c>
    </row>
    <row r="183" spans="1:35" s="199" customFormat="1">
      <c r="A183" s="330"/>
      <c r="B183" s="154" t="s">
        <v>79</v>
      </c>
      <c r="C183" s="3" t="s">
        <v>23</v>
      </c>
      <c r="D183" s="126" t="s">
        <v>24</v>
      </c>
      <c r="E183" s="17" t="s">
        <v>64</v>
      </c>
      <c r="G183" s="331"/>
      <c r="H183" s="206"/>
      <c r="I183" s="289"/>
      <c r="J183" s="332"/>
      <c r="K183" s="289"/>
      <c r="L183" s="331"/>
      <c r="M183" s="289"/>
      <c r="N183" s="333"/>
      <c r="O183" s="332"/>
      <c r="P183" s="206"/>
      <c r="Q183" s="289"/>
      <c r="R183" s="191"/>
      <c r="S183" s="289"/>
      <c r="T183" s="331"/>
      <c r="U183" s="290" t="s">
        <v>34</v>
      </c>
      <c r="W183" s="196"/>
      <c r="X183" s="191"/>
      <c r="Y183" s="197"/>
      <c r="Z183" s="336"/>
      <c r="AA183" s="191"/>
      <c r="AC183" s="191"/>
      <c r="AD183" s="337"/>
      <c r="AE183" s="334">
        <v>0</v>
      </c>
      <c r="AF183" s="335">
        <v>0</v>
      </c>
      <c r="AG183" s="334">
        <v>1</v>
      </c>
      <c r="AH183" s="335">
        <v>0</v>
      </c>
      <c r="AI183" s="334">
        <v>1</v>
      </c>
    </row>
    <row r="184" spans="1:35" s="199" customFormat="1">
      <c r="A184" s="338"/>
      <c r="B184" s="2">
        <v>15</v>
      </c>
      <c r="C184" s="339" t="s">
        <v>23</v>
      </c>
      <c r="D184" s="126" t="s">
        <v>24</v>
      </c>
      <c r="E184" s="17" t="s">
        <v>53</v>
      </c>
      <c r="G184" s="331"/>
      <c r="H184" s="206"/>
      <c r="I184" s="289"/>
      <c r="J184" s="332"/>
      <c r="K184" s="289"/>
      <c r="L184" s="331"/>
      <c r="M184" s="289"/>
      <c r="N184" s="333"/>
      <c r="O184" s="332"/>
      <c r="P184" s="206"/>
      <c r="Q184" s="289"/>
      <c r="R184" s="191"/>
      <c r="S184" s="289"/>
      <c r="T184" s="331"/>
      <c r="U184" s="290" t="s">
        <v>34</v>
      </c>
      <c r="W184" s="196"/>
      <c r="X184" s="191"/>
      <c r="Y184" s="197"/>
      <c r="Z184" s="336"/>
      <c r="AA184" s="191"/>
      <c r="AC184" s="191"/>
      <c r="AD184" s="337"/>
      <c r="AE184" s="334">
        <v>0</v>
      </c>
      <c r="AF184" s="335">
        <v>1</v>
      </c>
      <c r="AG184" s="334">
        <v>0</v>
      </c>
      <c r="AH184" s="335">
        <v>0</v>
      </c>
      <c r="AI184" s="334">
        <v>1</v>
      </c>
    </row>
    <row r="185" spans="1:35" s="199" customFormat="1">
      <c r="A185" s="1"/>
      <c r="B185" s="154" t="s">
        <v>80</v>
      </c>
      <c r="C185" s="3" t="s">
        <v>23</v>
      </c>
      <c r="D185" s="126" t="s">
        <v>24</v>
      </c>
      <c r="E185" s="17" t="s">
        <v>54</v>
      </c>
      <c r="G185" s="331"/>
      <c r="H185" s="206"/>
      <c r="I185" s="289"/>
      <c r="J185" s="332"/>
      <c r="K185" s="289"/>
      <c r="L185" s="331"/>
      <c r="M185" s="289"/>
      <c r="N185" s="333"/>
      <c r="O185" s="332"/>
      <c r="P185" s="206"/>
      <c r="Q185" s="289"/>
      <c r="R185" s="191"/>
      <c r="S185" s="289"/>
      <c r="T185" s="331"/>
      <c r="U185" s="290" t="s">
        <v>34</v>
      </c>
      <c r="W185" s="196"/>
      <c r="X185" s="191"/>
      <c r="Y185" s="197"/>
      <c r="Z185" s="336"/>
      <c r="AA185" s="191"/>
      <c r="AC185" s="191"/>
      <c r="AD185" s="337"/>
      <c r="AE185" s="334">
        <v>0</v>
      </c>
      <c r="AF185" s="335">
        <v>0</v>
      </c>
      <c r="AG185" s="334">
        <v>1</v>
      </c>
      <c r="AH185" s="335">
        <v>0</v>
      </c>
      <c r="AI185" s="334">
        <v>1</v>
      </c>
    </row>
    <row r="186" spans="1:35" s="199" customFormat="1">
      <c r="A186" s="1"/>
      <c r="B186" s="2">
        <v>19</v>
      </c>
      <c r="C186" s="3" t="s">
        <v>31</v>
      </c>
      <c r="D186" s="17" t="s">
        <v>32</v>
      </c>
      <c r="E186" s="17" t="s">
        <v>53</v>
      </c>
      <c r="G186" s="331"/>
      <c r="H186" s="206"/>
      <c r="I186" s="289"/>
      <c r="J186" s="332"/>
      <c r="K186" s="289"/>
      <c r="L186" s="331"/>
      <c r="M186" s="289"/>
      <c r="N186" s="333"/>
      <c r="O186" s="332"/>
      <c r="P186" s="206"/>
      <c r="Q186" s="289"/>
      <c r="R186" s="191"/>
      <c r="S186" s="289"/>
      <c r="T186" s="331"/>
      <c r="U186" s="290" t="s">
        <v>34</v>
      </c>
      <c r="W186" s="196"/>
      <c r="X186" s="191"/>
      <c r="Y186" s="197"/>
      <c r="Z186" s="336"/>
      <c r="AA186" s="191"/>
      <c r="AC186" s="191"/>
      <c r="AD186" s="337"/>
      <c r="AE186" s="334">
        <v>0</v>
      </c>
      <c r="AF186" s="335">
        <v>1</v>
      </c>
      <c r="AG186" s="334">
        <v>0</v>
      </c>
      <c r="AH186" s="335">
        <v>0</v>
      </c>
      <c r="AI186" s="334">
        <v>1</v>
      </c>
    </row>
    <row r="187" spans="1:35" s="229" customFormat="1" ht="16.5" thickBot="1">
      <c r="A187" s="109"/>
      <c r="B187" s="110">
        <v>22</v>
      </c>
      <c r="C187" s="340" t="s">
        <v>36</v>
      </c>
      <c r="D187" s="111" t="s">
        <v>37</v>
      </c>
      <c r="E187" s="111" t="s">
        <v>57</v>
      </c>
      <c r="G187" s="341"/>
      <c r="H187" s="235"/>
      <c r="I187" s="292"/>
      <c r="J187" s="342"/>
      <c r="K187" s="292"/>
      <c r="L187" s="341"/>
      <c r="M187" s="292"/>
      <c r="N187" s="343"/>
      <c r="O187" s="342"/>
      <c r="P187" s="235"/>
      <c r="Q187" s="292"/>
      <c r="R187" s="221"/>
      <c r="S187" s="292"/>
      <c r="T187" s="341"/>
      <c r="U187" s="293" t="s">
        <v>34</v>
      </c>
      <c r="W187" s="226"/>
      <c r="X187" s="221"/>
      <c r="Y187" s="227"/>
      <c r="Z187" s="294"/>
      <c r="AA187" s="221"/>
      <c r="AC187" s="221"/>
      <c r="AD187" s="295"/>
      <c r="AE187" s="344">
        <v>0</v>
      </c>
      <c r="AF187" s="345">
        <v>1</v>
      </c>
      <c r="AG187" s="344">
        <v>0</v>
      </c>
      <c r="AH187" s="345">
        <v>0</v>
      </c>
      <c r="AI187" s="344">
        <v>1</v>
      </c>
    </row>
    <row r="188" spans="1:35" ht="16.5" thickTop="1">
      <c r="A188" s="1" t="s">
        <v>81</v>
      </c>
      <c r="B188" s="2">
        <v>2</v>
      </c>
      <c r="C188" s="17" t="s">
        <v>23</v>
      </c>
      <c r="D188" s="17" t="s">
        <v>24</v>
      </c>
      <c r="E188" s="17" t="s">
        <v>25</v>
      </c>
      <c r="F188" s="346">
        <v>26</v>
      </c>
      <c r="G188" s="347">
        <v>42</v>
      </c>
      <c r="H188" s="348">
        <v>36</v>
      </c>
      <c r="J188" s="350">
        <f>(15+20)/2</f>
        <v>17.5</v>
      </c>
      <c r="K188" s="349">
        <f>(14+19)/2</f>
        <v>16.5</v>
      </c>
      <c r="L188" s="347">
        <f>(16+29)/2</f>
        <v>22.5</v>
      </c>
      <c r="N188" s="351">
        <v>19</v>
      </c>
      <c r="O188" s="350">
        <v>32</v>
      </c>
      <c r="P188" s="348">
        <v>56</v>
      </c>
      <c r="R188" s="346">
        <f>(12+37)/2</f>
        <v>24.5</v>
      </c>
      <c r="S188" s="349">
        <f>(11+34)/2</f>
        <v>22.5</v>
      </c>
      <c r="T188" s="347">
        <f>(9+44)/2</f>
        <v>26.5</v>
      </c>
      <c r="U188" s="352" t="s">
        <v>26</v>
      </c>
      <c r="V188" s="11" t="s">
        <v>82</v>
      </c>
      <c r="W188" s="61">
        <f t="shared" si="16"/>
        <v>0.40229885057471265</v>
      </c>
      <c r="X188" s="62">
        <f t="shared" si="16"/>
        <v>0.28205128205128205</v>
      </c>
      <c r="Y188" s="63">
        <f t="shared" si="16"/>
        <v>0.38461538461538464</v>
      </c>
      <c r="Z188" s="64">
        <f t="shared" si="19"/>
        <v>0.35632183908045972</v>
      </c>
      <c r="AA188" s="62">
        <f t="shared" si="17"/>
        <v>0.56321839080459768</v>
      </c>
      <c r="AB188" s="65">
        <f t="shared" si="17"/>
        <v>0.41284403669724773</v>
      </c>
      <c r="AC188" s="62">
        <f t="shared" si="17"/>
        <v>0.32121212121212123</v>
      </c>
      <c r="AD188" s="64">
        <f t="shared" si="18"/>
        <v>0.43242484957132227</v>
      </c>
      <c r="AE188" s="16">
        <v>1</v>
      </c>
      <c r="AF188" s="15">
        <v>0</v>
      </c>
      <c r="AG188" s="16">
        <v>0</v>
      </c>
      <c r="AH188" s="15">
        <v>1</v>
      </c>
      <c r="AI188" s="16">
        <v>0</v>
      </c>
    </row>
    <row r="189" spans="1:35">
      <c r="E189" s="17" t="s">
        <v>28</v>
      </c>
      <c r="F189" s="346">
        <v>30</v>
      </c>
      <c r="G189" s="347">
        <v>35</v>
      </c>
      <c r="H189" s="348">
        <v>29</v>
      </c>
      <c r="J189" s="350">
        <f>(13+29)/2</f>
        <v>21</v>
      </c>
      <c r="K189" s="349">
        <f>(13+33)/2</f>
        <v>23</v>
      </c>
      <c r="L189" s="347">
        <f>(15+39)/2</f>
        <v>27</v>
      </c>
      <c r="N189" s="351">
        <v>76</v>
      </c>
      <c r="O189" s="350">
        <v>74</v>
      </c>
      <c r="P189" s="348">
        <v>11</v>
      </c>
      <c r="R189" s="346">
        <f>(19+37)/2</f>
        <v>28</v>
      </c>
      <c r="S189" s="349">
        <f>(15+30)/2</f>
        <v>22.5</v>
      </c>
      <c r="T189" s="347">
        <f>(13+43)/2</f>
        <v>28</v>
      </c>
      <c r="W189" s="61">
        <f t="shared" si="16"/>
        <v>0.41176470588235292</v>
      </c>
      <c r="X189" s="62">
        <f t="shared" si="16"/>
        <v>0.39655172413793105</v>
      </c>
      <c r="Y189" s="63">
        <f t="shared" si="16"/>
        <v>0.48214285714285715</v>
      </c>
      <c r="Z189" s="64">
        <f t="shared" si="19"/>
        <v>0.43015309572104704</v>
      </c>
      <c r="AA189" s="62">
        <f t="shared" si="17"/>
        <v>0.26923076923076922</v>
      </c>
      <c r="AB189" s="65">
        <f t="shared" si="17"/>
        <v>0.23316062176165803</v>
      </c>
      <c r="AC189" s="62">
        <f t="shared" si="17"/>
        <v>0.71794871794871795</v>
      </c>
      <c r="AD189" s="64">
        <f t="shared" si="18"/>
        <v>0.40678003631371507</v>
      </c>
    </row>
    <row r="190" spans="1:35">
      <c r="E190" s="17" t="s">
        <v>29</v>
      </c>
      <c r="F190" s="346">
        <v>106</v>
      </c>
      <c r="G190" s="347">
        <v>125</v>
      </c>
      <c r="H190" s="348">
        <v>81</v>
      </c>
      <c r="J190" s="350">
        <f>(25+53)/2</f>
        <v>39</v>
      </c>
      <c r="K190" s="349">
        <f>(31+49)/2</f>
        <v>40</v>
      </c>
      <c r="L190" s="347">
        <f>(17+47)/2</f>
        <v>32</v>
      </c>
      <c r="N190" s="351">
        <v>41</v>
      </c>
      <c r="O190" s="350">
        <v>52</v>
      </c>
      <c r="P190" s="348">
        <v>30</v>
      </c>
      <c r="R190" s="346">
        <f>(10+44)/2</f>
        <v>27</v>
      </c>
      <c r="S190" s="349">
        <f>(15+32)/2</f>
        <v>23.5</v>
      </c>
      <c r="T190" s="347">
        <f>(13+25)/2</f>
        <v>19</v>
      </c>
      <c r="W190" s="61">
        <f t="shared" si="16"/>
        <v>0.26896551724137929</v>
      </c>
      <c r="X190" s="62">
        <f t="shared" si="16"/>
        <v>0.24242424242424243</v>
      </c>
      <c r="Y190" s="63">
        <f t="shared" si="16"/>
        <v>0.2831858407079646</v>
      </c>
      <c r="Z190" s="64">
        <f t="shared" si="19"/>
        <v>0.26485853345786209</v>
      </c>
      <c r="AA190" s="62">
        <f t="shared" si="17"/>
        <v>0.39705882352941174</v>
      </c>
      <c r="AB190" s="65">
        <f t="shared" si="17"/>
        <v>0.31125827814569534</v>
      </c>
      <c r="AC190" s="62">
        <f t="shared" si="17"/>
        <v>0.38775510204081631</v>
      </c>
      <c r="AD190" s="64">
        <f t="shared" si="18"/>
        <v>0.36535740123864113</v>
      </c>
    </row>
    <row r="191" spans="1:35" s="360" customFormat="1">
      <c r="A191" s="75"/>
      <c r="B191" s="76"/>
      <c r="C191" s="77"/>
      <c r="D191" s="77"/>
      <c r="E191" s="77" t="s">
        <v>30</v>
      </c>
      <c r="F191" s="353">
        <v>84</v>
      </c>
      <c r="G191" s="354">
        <v>81</v>
      </c>
      <c r="H191" s="355">
        <v>52</v>
      </c>
      <c r="I191" s="356"/>
      <c r="J191" s="357">
        <f>(31+43)/2</f>
        <v>37</v>
      </c>
      <c r="K191" s="356">
        <f>(13+47)/2</f>
        <v>30</v>
      </c>
      <c r="L191" s="354">
        <f>(15+31)/2</f>
        <v>23</v>
      </c>
      <c r="M191" s="356"/>
      <c r="N191" s="358">
        <v>96</v>
      </c>
      <c r="O191" s="357">
        <v>77</v>
      </c>
      <c r="P191" s="355">
        <v>87</v>
      </c>
      <c r="Q191" s="356"/>
      <c r="R191" s="353">
        <f>(17+50)/2</f>
        <v>33.5</v>
      </c>
      <c r="S191" s="356">
        <f>(18+38)/2</f>
        <v>28</v>
      </c>
      <c r="T191" s="354">
        <f>(19+37)/2</f>
        <v>28</v>
      </c>
      <c r="U191" s="359"/>
      <c r="W191" s="85">
        <f t="shared" si="16"/>
        <v>0.30578512396694213</v>
      </c>
      <c r="X191" s="86">
        <f t="shared" si="16"/>
        <v>0.27027027027027029</v>
      </c>
      <c r="Y191" s="87">
        <f t="shared" si="16"/>
        <v>0.30666666666666664</v>
      </c>
      <c r="Z191" s="283">
        <f t="shared" si="19"/>
        <v>0.29424068696795969</v>
      </c>
      <c r="AA191" s="86">
        <f t="shared" si="17"/>
        <v>0.25868725868725867</v>
      </c>
      <c r="AB191" s="89">
        <f t="shared" si="17"/>
        <v>0.26666666666666666</v>
      </c>
      <c r="AC191" s="86">
        <f t="shared" si="17"/>
        <v>0.24347826086956523</v>
      </c>
      <c r="AD191" s="425">
        <f t="shared" si="18"/>
        <v>0.25627739540783018</v>
      </c>
      <c r="AE191" s="361"/>
      <c r="AF191" s="362"/>
      <c r="AG191" s="361"/>
      <c r="AH191" s="362"/>
      <c r="AI191" s="361"/>
    </row>
    <row r="192" spans="1:35">
      <c r="B192" s="154" t="s">
        <v>83</v>
      </c>
      <c r="C192" s="17" t="s">
        <v>23</v>
      </c>
      <c r="D192" s="126" t="s">
        <v>24</v>
      </c>
      <c r="E192" s="17" t="s">
        <v>25</v>
      </c>
      <c r="F192" s="363">
        <f>(15+81+39+40+114+35+136+76+165+81+94+67+109)/13</f>
        <v>80.92307692307692</v>
      </c>
      <c r="G192" s="364">
        <f>(14+119+49+24+129+37+149+95+180+89+100+83+72)/13</f>
        <v>87.692307692307693</v>
      </c>
      <c r="H192" s="365">
        <f>(16+125+40+31+122+31+160+107+182+89+94+75+114)/13</f>
        <v>91.230769230769226</v>
      </c>
      <c r="J192" s="350">
        <v>4</v>
      </c>
      <c r="K192" s="349">
        <v>6</v>
      </c>
      <c r="L192" s="347">
        <v>7</v>
      </c>
      <c r="N192" s="351">
        <f>(12+100+43+30+135+44+165+83+199+90+98+98+100)/13</f>
        <v>92.07692307692308</v>
      </c>
      <c r="O192" s="350">
        <f>(11+91+45+25+89+33+129+81+129+73+82+56+76)/13</f>
        <v>70.769230769230774</v>
      </c>
      <c r="P192" s="348">
        <f>(9+143+72+43+151+44+189+103+182+117+98+103+123)/13</f>
        <v>105.92307692307692</v>
      </c>
      <c r="R192" s="346">
        <v>8</v>
      </c>
      <c r="S192" s="349">
        <v>7</v>
      </c>
      <c r="T192" s="347">
        <v>8</v>
      </c>
      <c r="U192" s="352" t="s">
        <v>34</v>
      </c>
      <c r="V192" s="11" t="s">
        <v>84</v>
      </c>
      <c r="W192" s="61">
        <f t="shared" si="16"/>
        <v>4.710144927536232E-2</v>
      </c>
      <c r="X192" s="62">
        <f t="shared" si="16"/>
        <v>6.4039408866995079E-2</v>
      </c>
      <c r="Y192" s="63">
        <f t="shared" si="16"/>
        <v>7.1260767423649188E-2</v>
      </c>
      <c r="Z192" s="64">
        <f t="shared" si="19"/>
        <v>6.0800541855335531E-2</v>
      </c>
      <c r="AA192" s="62">
        <f t="shared" si="17"/>
        <v>7.9938508839354341E-2</v>
      </c>
      <c r="AB192" s="65">
        <f t="shared" si="17"/>
        <v>9.0009891196834807E-2</v>
      </c>
      <c r="AC192" s="62">
        <f t="shared" si="17"/>
        <v>7.0222822417285613E-2</v>
      </c>
      <c r="AD192" s="66">
        <f t="shared" si="18"/>
        <v>8.0057074151158258E-2</v>
      </c>
      <c r="AE192" s="16">
        <v>1</v>
      </c>
      <c r="AF192" s="15">
        <v>0</v>
      </c>
      <c r="AG192" s="16">
        <v>0</v>
      </c>
      <c r="AH192" s="15">
        <v>1</v>
      </c>
      <c r="AI192" s="16">
        <v>0</v>
      </c>
    </row>
    <row r="193" spans="1:35">
      <c r="E193" s="17" t="s">
        <v>28</v>
      </c>
      <c r="F193" s="363">
        <f>(13+104+59+34+146+43+195+96+212+105+111+83+121)/13</f>
        <v>101.69230769230769</v>
      </c>
      <c r="G193" s="364">
        <f>(13+87+44+37+106+40+161+81+156+86+102+92+88)/13</f>
        <v>84.07692307692308</v>
      </c>
      <c r="H193" s="365">
        <f>(15+108+57+32+114+41+182+81+179+59+92+82+98)/13</f>
        <v>87.692307692307693</v>
      </c>
      <c r="J193" s="350">
        <v>8</v>
      </c>
      <c r="K193" s="349">
        <v>9</v>
      </c>
      <c r="L193" s="347">
        <v>9</v>
      </c>
      <c r="N193" s="351">
        <f>(19+76+33+30+81+39+106+99+95+68+63+88+51)/13</f>
        <v>65.230769230769226</v>
      </c>
      <c r="O193" s="350">
        <f>(15+72+25+42+75+32+100+91+78+75+71+56+40)/13</f>
        <v>59.384615384615387</v>
      </c>
      <c r="P193" s="348">
        <f>(13+91+39+32+72+41+116+110+69+73+65+109+59)/13</f>
        <v>68.384615384615387</v>
      </c>
      <c r="R193" s="346">
        <v>16</v>
      </c>
      <c r="S193" s="349">
        <v>9</v>
      </c>
      <c r="T193" s="347">
        <v>7</v>
      </c>
      <c r="V193" s="4" t="s">
        <v>35</v>
      </c>
      <c r="W193" s="61">
        <f t="shared" si="16"/>
        <v>7.2931276297335201E-2</v>
      </c>
      <c r="X193" s="62">
        <f t="shared" si="16"/>
        <v>9.6694214876033052E-2</v>
      </c>
      <c r="Y193" s="63">
        <f t="shared" si="16"/>
        <v>9.3078758949880672E-2</v>
      </c>
      <c r="Z193" s="64">
        <f t="shared" si="19"/>
        <v>8.7568083374416308E-2</v>
      </c>
      <c r="AA193" s="62">
        <f t="shared" si="17"/>
        <v>0.19696969696969699</v>
      </c>
      <c r="AB193" s="65">
        <f t="shared" si="17"/>
        <v>0.13160854893138357</v>
      </c>
      <c r="AC193" s="62">
        <f t="shared" si="17"/>
        <v>9.285714285714286E-2</v>
      </c>
      <c r="AD193" s="66">
        <f t="shared" si="18"/>
        <v>0.1404784629194078</v>
      </c>
    </row>
    <row r="194" spans="1:35">
      <c r="E194" s="17" t="s">
        <v>29</v>
      </c>
      <c r="F194" s="363">
        <f>(25+76+29+38+85+38+103+121+94+78+71+80+61)/13</f>
        <v>69.15384615384616</v>
      </c>
      <c r="G194" s="364">
        <f>(31+93+51+48+102+45+157+158+122+79+89+95+70)/13</f>
        <v>87.692307692307693</v>
      </c>
      <c r="H194" s="365">
        <f>(17+81+51+37+77+37+138+123+77+54+82+99+48)/13</f>
        <v>70.84615384615384</v>
      </c>
      <c r="J194" s="350">
        <v>15</v>
      </c>
      <c r="K194" s="349">
        <v>7</v>
      </c>
      <c r="L194" s="347">
        <v>6</v>
      </c>
      <c r="N194" s="351">
        <f>(10+99+67+41+176+52+119+96+193+195+133+111+124)/13</f>
        <v>108.92307692307692</v>
      </c>
      <c r="O194" s="350">
        <f>(15+127+59+31+124+35+183+103+173+100+100+86+106)/13</f>
        <v>95.538461538461533</v>
      </c>
      <c r="P194" s="348">
        <f>(13+98+48+37+141+49+180+101+182+89+124+89+110)/13</f>
        <v>97</v>
      </c>
      <c r="R194" s="346">
        <v>6</v>
      </c>
      <c r="S194" s="349">
        <v>16</v>
      </c>
      <c r="T194" s="347">
        <v>7</v>
      </c>
      <c r="W194" s="61">
        <f t="shared" si="16"/>
        <v>0.1782449725776965</v>
      </c>
      <c r="X194" s="62">
        <f t="shared" si="16"/>
        <v>7.3923639317627937E-2</v>
      </c>
      <c r="Y194" s="63">
        <f t="shared" si="16"/>
        <v>7.8078078078078081E-2</v>
      </c>
      <c r="Z194" s="64">
        <f t="shared" si="19"/>
        <v>0.11008222999113419</v>
      </c>
      <c r="AA194" s="62">
        <f t="shared" si="17"/>
        <v>5.2208835341365466E-2</v>
      </c>
      <c r="AB194" s="65">
        <f t="shared" si="17"/>
        <v>0.14344827586206899</v>
      </c>
      <c r="AC194" s="62">
        <f t="shared" si="17"/>
        <v>6.7307692307692304E-2</v>
      </c>
      <c r="AD194" s="66">
        <f t="shared" si="18"/>
        <v>8.7654934503708926E-2</v>
      </c>
    </row>
    <row r="195" spans="1:35" s="360" customFormat="1">
      <c r="A195" s="75"/>
      <c r="B195" s="76"/>
      <c r="C195" s="77"/>
      <c r="D195" s="77"/>
      <c r="E195" s="77" t="s">
        <v>30</v>
      </c>
      <c r="F195" s="366">
        <f>(31+92+45+39+93+32+113+119+82+74+84+83+77)/13</f>
        <v>74.15384615384616</v>
      </c>
      <c r="G195" s="367">
        <f>(13+83+39+41+71+47+130+129+117+59+90+76+74)/13</f>
        <v>74.538461538461533</v>
      </c>
      <c r="H195" s="368">
        <f>(15+82+33+32+69+45+96+86+78+55+51+53+42)/13</f>
        <v>56.692307692307693</v>
      </c>
      <c r="I195" s="356"/>
      <c r="J195" s="357">
        <v>13</v>
      </c>
      <c r="K195" s="356">
        <v>15</v>
      </c>
      <c r="L195" s="354">
        <v>3</v>
      </c>
      <c r="M195" s="356"/>
      <c r="N195" s="358">
        <f>(17+103+30+54+116+47+143+136+144+88+80+96+80)/13</f>
        <v>87.230769230769226</v>
      </c>
      <c r="O195" s="357">
        <f>(18+78+35+36+69+42+105+76+86+71+63+59+51)/13</f>
        <v>60.692307692307693</v>
      </c>
      <c r="P195" s="355">
        <f>(19+68+35+21+77+36+98+101+77+53+57+78+51)/13</f>
        <v>59.307692307692307</v>
      </c>
      <c r="Q195" s="356"/>
      <c r="R195" s="353">
        <v>10</v>
      </c>
      <c r="S195" s="356">
        <v>10</v>
      </c>
      <c r="T195" s="354">
        <v>6</v>
      </c>
      <c r="U195" s="359"/>
      <c r="W195" s="85">
        <f t="shared" si="16"/>
        <v>0.14916151809355691</v>
      </c>
      <c r="X195" s="86">
        <f t="shared" si="16"/>
        <v>0.1675257731958763</v>
      </c>
      <c r="Y195" s="87">
        <f t="shared" si="16"/>
        <v>5.0257731958762888E-2</v>
      </c>
      <c r="Z195" s="283">
        <f t="shared" si="19"/>
        <v>0.12231500774939869</v>
      </c>
      <c r="AA195" s="86">
        <f t="shared" si="17"/>
        <v>0.10284810126582279</v>
      </c>
      <c r="AB195" s="89">
        <f t="shared" si="17"/>
        <v>0.14145810663764963</v>
      </c>
      <c r="AC195" s="86">
        <f t="shared" si="17"/>
        <v>9.187279151943463E-2</v>
      </c>
      <c r="AD195" s="284">
        <f t="shared" si="18"/>
        <v>0.11205966647430234</v>
      </c>
      <c r="AE195" s="361"/>
      <c r="AF195" s="362"/>
      <c r="AG195" s="361"/>
      <c r="AH195" s="362"/>
      <c r="AI195" s="361"/>
    </row>
    <row r="196" spans="1:35">
      <c r="B196" s="2">
        <v>4</v>
      </c>
      <c r="C196" s="17" t="s">
        <v>23</v>
      </c>
      <c r="D196" s="126" t="s">
        <v>24</v>
      </c>
      <c r="E196" s="17" t="s">
        <v>25</v>
      </c>
      <c r="F196" s="323" t="s">
        <v>42</v>
      </c>
      <c r="G196" s="347">
        <f>(49+119)/2</f>
        <v>84</v>
      </c>
      <c r="H196" s="323" t="s">
        <v>42</v>
      </c>
      <c r="J196" s="324">
        <v>0</v>
      </c>
      <c r="K196" s="349">
        <v>0</v>
      </c>
      <c r="L196" s="324">
        <v>0</v>
      </c>
      <c r="N196" s="351">
        <f>(43+100)/2</f>
        <v>71.5</v>
      </c>
      <c r="O196" s="369" t="s">
        <v>42</v>
      </c>
      <c r="P196" s="348">
        <f>(72+143)/2</f>
        <v>107.5</v>
      </c>
      <c r="R196" s="346">
        <v>0</v>
      </c>
      <c r="S196" s="369">
        <v>0</v>
      </c>
      <c r="T196" s="347">
        <v>0</v>
      </c>
      <c r="U196" s="352" t="s">
        <v>34</v>
      </c>
      <c r="V196" s="4" t="s">
        <v>35</v>
      </c>
      <c r="W196" s="134" t="s">
        <v>43</v>
      </c>
      <c r="X196" s="62">
        <f>K196/(G196+K196)</f>
        <v>0</v>
      </c>
      <c r="Y196" s="134" t="s">
        <v>43</v>
      </c>
      <c r="Z196" s="64">
        <f t="shared" si="19"/>
        <v>0</v>
      </c>
      <c r="AA196" s="62">
        <f t="shared" si="17"/>
        <v>0</v>
      </c>
      <c r="AB196" s="134" t="s">
        <v>43</v>
      </c>
      <c r="AC196" s="62">
        <f t="shared" si="17"/>
        <v>0</v>
      </c>
      <c r="AD196" s="66">
        <f t="shared" si="18"/>
        <v>0</v>
      </c>
      <c r="AE196" s="16">
        <v>1</v>
      </c>
      <c r="AF196" s="15">
        <v>0</v>
      </c>
      <c r="AG196" s="16">
        <v>0</v>
      </c>
      <c r="AH196" s="15">
        <v>0</v>
      </c>
      <c r="AI196" s="16">
        <v>0</v>
      </c>
    </row>
    <row r="197" spans="1:35">
      <c r="E197" s="17" t="s">
        <v>28</v>
      </c>
      <c r="F197" s="309" t="s">
        <v>42</v>
      </c>
      <c r="G197" s="347">
        <f>(87+44)/2</f>
        <v>65.5</v>
      </c>
      <c r="H197" s="309" t="s">
        <v>42</v>
      </c>
      <c r="J197" s="309">
        <v>0</v>
      </c>
      <c r="K197" s="349">
        <v>0</v>
      </c>
      <c r="L197" s="309">
        <v>0</v>
      </c>
      <c r="N197" s="351">
        <f>(33+76)/2</f>
        <v>54.5</v>
      </c>
      <c r="O197" s="370" t="s">
        <v>42</v>
      </c>
      <c r="P197" s="348">
        <f>(39+91)/2</f>
        <v>65</v>
      </c>
      <c r="R197" s="346">
        <v>0</v>
      </c>
      <c r="S197" s="370">
        <v>0</v>
      </c>
      <c r="T197" s="347">
        <v>1</v>
      </c>
      <c r="W197" s="134" t="s">
        <v>43</v>
      </c>
      <c r="X197" s="62">
        <f>K197/(G197+K197)</f>
        <v>0</v>
      </c>
      <c r="Y197" s="134" t="s">
        <v>43</v>
      </c>
      <c r="Z197" s="64">
        <f t="shared" si="19"/>
        <v>0</v>
      </c>
      <c r="AA197" s="62">
        <f t="shared" si="17"/>
        <v>0</v>
      </c>
      <c r="AB197" s="134" t="s">
        <v>43</v>
      </c>
      <c r="AC197" s="62">
        <f t="shared" si="17"/>
        <v>1.5151515151515152E-2</v>
      </c>
      <c r="AD197" s="66">
        <f t="shared" si="18"/>
        <v>7.575757575757576E-3</v>
      </c>
    </row>
    <row r="198" spans="1:35">
      <c r="E198" s="17" t="s">
        <v>29</v>
      </c>
      <c r="F198" s="309" t="s">
        <v>42</v>
      </c>
      <c r="G198" s="347">
        <f>(93+51)/2</f>
        <v>72</v>
      </c>
      <c r="H198" s="309" t="s">
        <v>42</v>
      </c>
      <c r="J198" s="309">
        <v>0</v>
      </c>
      <c r="K198" s="349">
        <v>0</v>
      </c>
      <c r="L198" s="309">
        <v>0</v>
      </c>
      <c r="N198" s="351">
        <f>(67+99)/2</f>
        <v>83</v>
      </c>
      <c r="O198" s="370" t="s">
        <v>42</v>
      </c>
      <c r="P198" s="348">
        <f>(48+98)/2</f>
        <v>73</v>
      </c>
      <c r="R198" s="346">
        <v>1</v>
      </c>
      <c r="S198" s="370">
        <v>0</v>
      </c>
      <c r="T198" s="347">
        <v>0</v>
      </c>
      <c r="W198" s="134" t="s">
        <v>43</v>
      </c>
      <c r="X198" s="62">
        <f>K198/(G198+K198)</f>
        <v>0</v>
      </c>
      <c r="Y198" s="134" t="s">
        <v>43</v>
      </c>
      <c r="Z198" s="64">
        <f t="shared" si="19"/>
        <v>0</v>
      </c>
      <c r="AA198" s="62">
        <f>R198/(N198+R198)</f>
        <v>1.1904761904761904E-2</v>
      </c>
      <c r="AB198" s="134" t="s">
        <v>43</v>
      </c>
      <c r="AC198" s="62">
        <f t="shared" ref="AC198:AC203" si="20">T198/(P198+T198)</f>
        <v>0</v>
      </c>
      <c r="AD198" s="66">
        <f t="shared" si="18"/>
        <v>5.9523809523809521E-3</v>
      </c>
    </row>
    <row r="199" spans="1:35" s="360" customFormat="1">
      <c r="A199" s="75"/>
      <c r="B199" s="76"/>
      <c r="C199" s="77"/>
      <c r="D199" s="77"/>
      <c r="E199" s="77" t="s">
        <v>30</v>
      </c>
      <c r="F199" s="310" t="s">
        <v>42</v>
      </c>
      <c r="G199" s="354">
        <f>(83+39)/2</f>
        <v>61</v>
      </c>
      <c r="H199" s="310" t="s">
        <v>42</v>
      </c>
      <c r="I199" s="356"/>
      <c r="J199" s="310">
        <v>0</v>
      </c>
      <c r="K199" s="356">
        <v>1</v>
      </c>
      <c r="L199" s="310">
        <v>0</v>
      </c>
      <c r="M199" s="356"/>
      <c r="N199" s="358">
        <f>(30+103)/2</f>
        <v>66.5</v>
      </c>
      <c r="O199" s="371" t="s">
        <v>42</v>
      </c>
      <c r="P199" s="355">
        <f>(35+68)/2</f>
        <v>51.5</v>
      </c>
      <c r="Q199" s="356"/>
      <c r="R199" s="353">
        <v>0</v>
      </c>
      <c r="S199" s="371">
        <v>0</v>
      </c>
      <c r="T199" s="354">
        <v>0</v>
      </c>
      <c r="U199" s="359"/>
      <c r="W199" s="147" t="s">
        <v>43</v>
      </c>
      <c r="X199" s="86">
        <f>K199/(G199+K199)</f>
        <v>1.6129032258064516E-2</v>
      </c>
      <c r="Y199" s="147" t="s">
        <v>43</v>
      </c>
      <c r="Z199" s="283">
        <f t="shared" si="19"/>
        <v>1.6129032258064516E-2</v>
      </c>
      <c r="AA199" s="86">
        <f>R199/(N199+R199)</f>
        <v>0</v>
      </c>
      <c r="AB199" s="147" t="s">
        <v>43</v>
      </c>
      <c r="AC199" s="86">
        <f t="shared" si="20"/>
        <v>0</v>
      </c>
      <c r="AD199" s="284">
        <f t="shared" ref="AD199:AD262" si="21">AVERAGE(AA199:AC199)</f>
        <v>0</v>
      </c>
      <c r="AE199" s="361"/>
      <c r="AF199" s="362"/>
      <c r="AG199" s="361"/>
      <c r="AH199" s="362"/>
      <c r="AI199" s="361"/>
    </row>
    <row r="200" spans="1:35">
      <c r="B200" s="2">
        <v>8</v>
      </c>
      <c r="C200" s="17" t="s">
        <v>36</v>
      </c>
      <c r="D200" s="17" t="s">
        <v>37</v>
      </c>
      <c r="E200" s="17" t="s">
        <v>25</v>
      </c>
      <c r="F200" s="17">
        <v>136</v>
      </c>
      <c r="G200" s="323" t="s">
        <v>42</v>
      </c>
      <c r="H200" s="323" t="s">
        <v>42</v>
      </c>
      <c r="J200" s="350">
        <v>0</v>
      </c>
      <c r="K200" s="324">
        <v>0</v>
      </c>
      <c r="L200" s="324">
        <v>0</v>
      </c>
      <c r="N200" s="369" t="s">
        <v>42</v>
      </c>
      <c r="O200" s="350">
        <v>129</v>
      </c>
      <c r="P200" s="348">
        <v>189</v>
      </c>
      <c r="R200" s="369">
        <v>0</v>
      </c>
      <c r="S200" s="349">
        <v>2</v>
      </c>
      <c r="T200" s="347">
        <v>1</v>
      </c>
      <c r="U200" s="352" t="s">
        <v>34</v>
      </c>
      <c r="V200" s="4" t="s">
        <v>35</v>
      </c>
      <c r="W200" s="61">
        <f>J200/(F200+J200)</f>
        <v>0</v>
      </c>
      <c r="X200" s="134" t="s">
        <v>43</v>
      </c>
      <c r="Y200" s="134" t="s">
        <v>43</v>
      </c>
      <c r="Z200" s="64">
        <f t="shared" si="19"/>
        <v>0</v>
      </c>
      <c r="AA200" s="134" t="s">
        <v>43</v>
      </c>
      <c r="AB200" s="65">
        <f t="shared" ref="AB200:AB207" si="22">S200/(O200+S200)</f>
        <v>1.5267175572519083E-2</v>
      </c>
      <c r="AC200" s="62">
        <f t="shared" si="20"/>
        <v>5.263157894736842E-3</v>
      </c>
      <c r="AD200" s="66">
        <f t="shared" si="21"/>
        <v>1.0265166733627963E-2</v>
      </c>
      <c r="AE200" s="16">
        <v>1</v>
      </c>
      <c r="AF200" s="15">
        <v>0</v>
      </c>
      <c r="AG200" s="16">
        <v>0</v>
      </c>
      <c r="AH200" s="15">
        <v>0</v>
      </c>
      <c r="AI200" s="16">
        <v>0</v>
      </c>
    </row>
    <row r="201" spans="1:35">
      <c r="E201" s="17" t="s">
        <v>28</v>
      </c>
      <c r="F201" s="17">
        <v>195</v>
      </c>
      <c r="G201" s="309" t="s">
        <v>42</v>
      </c>
      <c r="H201" s="309" t="s">
        <v>42</v>
      </c>
      <c r="J201" s="350">
        <v>1</v>
      </c>
      <c r="K201" s="309">
        <v>0</v>
      </c>
      <c r="L201" s="309">
        <v>0</v>
      </c>
      <c r="N201" s="370" t="s">
        <v>42</v>
      </c>
      <c r="O201" s="350">
        <v>100</v>
      </c>
      <c r="P201" s="348">
        <v>116</v>
      </c>
      <c r="R201" s="370">
        <v>0</v>
      </c>
      <c r="S201" s="349">
        <v>0</v>
      </c>
      <c r="T201" s="347">
        <v>0</v>
      </c>
      <c r="W201" s="61">
        <f>J201/(F201+J201)</f>
        <v>5.1020408163265302E-3</v>
      </c>
      <c r="X201" s="134" t="s">
        <v>43</v>
      </c>
      <c r="Y201" s="134" t="s">
        <v>43</v>
      </c>
      <c r="Z201" s="64">
        <f t="shared" si="19"/>
        <v>5.1020408163265302E-3</v>
      </c>
      <c r="AA201" s="134" t="s">
        <v>43</v>
      </c>
      <c r="AB201" s="65">
        <f t="shared" si="22"/>
        <v>0</v>
      </c>
      <c r="AC201" s="62">
        <f t="shared" si="20"/>
        <v>0</v>
      </c>
      <c r="AD201" s="66">
        <f t="shared" si="21"/>
        <v>0</v>
      </c>
    </row>
    <row r="202" spans="1:35">
      <c r="E202" s="17" t="s">
        <v>29</v>
      </c>
      <c r="F202" s="17">
        <v>103</v>
      </c>
      <c r="G202" s="309" t="s">
        <v>42</v>
      </c>
      <c r="H202" s="309" t="s">
        <v>42</v>
      </c>
      <c r="J202" s="350">
        <v>0</v>
      </c>
      <c r="K202" s="309">
        <v>0</v>
      </c>
      <c r="L202" s="309">
        <v>0</v>
      </c>
      <c r="N202" s="370" t="s">
        <v>42</v>
      </c>
      <c r="O202" s="350">
        <v>183</v>
      </c>
      <c r="P202" s="348">
        <v>180</v>
      </c>
      <c r="R202" s="370">
        <v>0</v>
      </c>
      <c r="S202" s="349">
        <v>0</v>
      </c>
      <c r="T202" s="347">
        <v>0</v>
      </c>
      <c r="W202" s="61">
        <f>J202/(F202+J202)</f>
        <v>0</v>
      </c>
      <c r="X202" s="134" t="s">
        <v>43</v>
      </c>
      <c r="Y202" s="134" t="s">
        <v>43</v>
      </c>
      <c r="Z202" s="64">
        <f t="shared" si="19"/>
        <v>0</v>
      </c>
      <c r="AA202" s="134" t="s">
        <v>43</v>
      </c>
      <c r="AB202" s="65">
        <f t="shared" si="22"/>
        <v>0</v>
      </c>
      <c r="AC202" s="62">
        <f t="shared" si="20"/>
        <v>0</v>
      </c>
      <c r="AD202" s="66">
        <f t="shared" si="21"/>
        <v>0</v>
      </c>
    </row>
    <row r="203" spans="1:35" s="360" customFormat="1">
      <c r="A203" s="75"/>
      <c r="B203" s="76"/>
      <c r="C203" s="77"/>
      <c r="D203" s="77"/>
      <c r="E203" s="77" t="s">
        <v>30</v>
      </c>
      <c r="F203" s="77">
        <v>113</v>
      </c>
      <c r="G203" s="310" t="s">
        <v>42</v>
      </c>
      <c r="H203" s="310" t="s">
        <v>42</v>
      </c>
      <c r="I203" s="356"/>
      <c r="J203" s="357">
        <v>0</v>
      </c>
      <c r="K203" s="310">
        <v>0</v>
      </c>
      <c r="L203" s="310">
        <v>0</v>
      </c>
      <c r="M203" s="356"/>
      <c r="N203" s="371" t="s">
        <v>42</v>
      </c>
      <c r="O203" s="357">
        <v>105</v>
      </c>
      <c r="P203" s="355">
        <v>98</v>
      </c>
      <c r="Q203" s="356"/>
      <c r="R203" s="371">
        <v>0</v>
      </c>
      <c r="S203" s="356">
        <v>0</v>
      </c>
      <c r="T203" s="354">
        <v>0</v>
      </c>
      <c r="U203" s="359"/>
      <c r="W203" s="85">
        <f>J203/(F203+J203)</f>
        <v>0</v>
      </c>
      <c r="X203" s="147" t="s">
        <v>43</v>
      </c>
      <c r="Y203" s="147" t="s">
        <v>43</v>
      </c>
      <c r="Z203" s="283">
        <f t="shared" si="19"/>
        <v>0</v>
      </c>
      <c r="AA203" s="147" t="s">
        <v>43</v>
      </c>
      <c r="AB203" s="89">
        <f t="shared" si="22"/>
        <v>0</v>
      </c>
      <c r="AC203" s="86">
        <f t="shared" si="20"/>
        <v>0</v>
      </c>
      <c r="AD203" s="284">
        <f t="shared" si="21"/>
        <v>0</v>
      </c>
      <c r="AE203" s="361"/>
      <c r="AF203" s="362"/>
      <c r="AG203" s="361"/>
      <c r="AH203" s="362"/>
      <c r="AI203" s="361"/>
    </row>
    <row r="204" spans="1:35">
      <c r="B204" s="2">
        <v>8</v>
      </c>
      <c r="C204" s="17" t="s">
        <v>23</v>
      </c>
      <c r="D204" s="126" t="s">
        <v>24</v>
      </c>
      <c r="E204" s="17" t="s">
        <v>25</v>
      </c>
      <c r="F204" s="323" t="s">
        <v>42</v>
      </c>
      <c r="G204" s="323" t="s">
        <v>42</v>
      </c>
      <c r="H204" s="348">
        <f>(160+31)/2</f>
        <v>95.5</v>
      </c>
      <c r="J204" s="324">
        <v>0</v>
      </c>
      <c r="K204" s="324">
        <v>0</v>
      </c>
      <c r="L204" s="347">
        <v>0</v>
      </c>
      <c r="N204" s="351">
        <f>(165+44)/2</f>
        <v>104.5</v>
      </c>
      <c r="O204" s="350">
        <f>(33+129)/2</f>
        <v>81</v>
      </c>
      <c r="P204" s="369" t="s">
        <v>42</v>
      </c>
      <c r="R204" s="346">
        <v>0</v>
      </c>
      <c r="S204" s="349">
        <v>1</v>
      </c>
      <c r="T204" s="369">
        <v>0</v>
      </c>
      <c r="U204" s="372" t="s">
        <v>34</v>
      </c>
      <c r="V204" s="4" t="s">
        <v>35</v>
      </c>
      <c r="W204" s="134" t="s">
        <v>43</v>
      </c>
      <c r="X204" s="134" t="s">
        <v>43</v>
      </c>
      <c r="Y204" s="63">
        <f t="shared" ref="Y204:Y258" si="23">L204/(H204+L204)</f>
        <v>0</v>
      </c>
      <c r="Z204" s="64">
        <f t="shared" si="19"/>
        <v>0</v>
      </c>
      <c r="AA204" s="62">
        <f>R204/(N204+R204)</f>
        <v>0</v>
      </c>
      <c r="AB204" s="65">
        <f t="shared" si="22"/>
        <v>1.2195121951219513E-2</v>
      </c>
      <c r="AC204" s="134" t="s">
        <v>43</v>
      </c>
      <c r="AD204" s="66">
        <f t="shared" si="21"/>
        <v>6.0975609756097563E-3</v>
      </c>
      <c r="AE204" s="16">
        <v>1</v>
      </c>
      <c r="AF204" s="15">
        <v>0</v>
      </c>
      <c r="AG204" s="16">
        <v>0</v>
      </c>
      <c r="AH204" s="15">
        <v>0</v>
      </c>
      <c r="AI204" s="16">
        <v>0</v>
      </c>
    </row>
    <row r="205" spans="1:35">
      <c r="E205" s="17" t="s">
        <v>28</v>
      </c>
      <c r="F205" s="309" t="s">
        <v>42</v>
      </c>
      <c r="G205" s="309" t="s">
        <v>42</v>
      </c>
      <c r="H205" s="348">
        <f>(182+41)/2</f>
        <v>111.5</v>
      </c>
      <c r="J205" s="309">
        <v>0</v>
      </c>
      <c r="K205" s="309">
        <v>0</v>
      </c>
      <c r="L205" s="347">
        <v>0</v>
      </c>
      <c r="N205" s="351">
        <f>(106+39)/2</f>
        <v>72.5</v>
      </c>
      <c r="O205" s="350">
        <f>(32+100)/2</f>
        <v>66</v>
      </c>
      <c r="P205" s="370" t="s">
        <v>42</v>
      </c>
      <c r="R205" s="346">
        <v>0</v>
      </c>
      <c r="S205" s="349">
        <v>0</v>
      </c>
      <c r="T205" s="370">
        <v>0</v>
      </c>
      <c r="U205" s="373"/>
      <c r="W205" s="134" t="s">
        <v>43</v>
      </c>
      <c r="X205" s="134" t="s">
        <v>43</v>
      </c>
      <c r="Y205" s="63">
        <f t="shared" si="23"/>
        <v>0</v>
      </c>
      <c r="Z205" s="64">
        <f t="shared" si="19"/>
        <v>0</v>
      </c>
      <c r="AA205" s="62">
        <f>R205/(N205+R205)</f>
        <v>0</v>
      </c>
      <c r="AB205" s="65">
        <f t="shared" si="22"/>
        <v>0</v>
      </c>
      <c r="AC205" s="134" t="s">
        <v>43</v>
      </c>
      <c r="AD205" s="66">
        <f t="shared" si="21"/>
        <v>0</v>
      </c>
    </row>
    <row r="206" spans="1:35">
      <c r="E206" s="17" t="s">
        <v>29</v>
      </c>
      <c r="F206" s="309" t="s">
        <v>42</v>
      </c>
      <c r="G206" s="309" t="s">
        <v>42</v>
      </c>
      <c r="H206" s="348">
        <f>(138+37)/2</f>
        <v>87.5</v>
      </c>
      <c r="J206" s="309">
        <v>0</v>
      </c>
      <c r="K206" s="309">
        <v>0</v>
      </c>
      <c r="L206" s="347">
        <v>1</v>
      </c>
      <c r="N206" s="351">
        <f>(119+52)/2</f>
        <v>85.5</v>
      </c>
      <c r="O206" s="350">
        <f>(35+183)/2</f>
        <v>109</v>
      </c>
      <c r="P206" s="370" t="s">
        <v>42</v>
      </c>
      <c r="R206" s="346">
        <v>1</v>
      </c>
      <c r="S206" s="349">
        <v>0</v>
      </c>
      <c r="T206" s="370">
        <v>0</v>
      </c>
      <c r="U206" s="373"/>
      <c r="W206" s="134" t="s">
        <v>43</v>
      </c>
      <c r="X206" s="134" t="s">
        <v>43</v>
      </c>
      <c r="Y206" s="63">
        <f t="shared" si="23"/>
        <v>1.1299435028248588E-2</v>
      </c>
      <c r="Z206" s="64">
        <f t="shared" si="19"/>
        <v>1.1299435028248588E-2</v>
      </c>
      <c r="AA206" s="62">
        <f>R206/(N206+R206)</f>
        <v>1.1560693641618497E-2</v>
      </c>
      <c r="AB206" s="65">
        <f t="shared" si="22"/>
        <v>0</v>
      </c>
      <c r="AC206" s="134" t="s">
        <v>43</v>
      </c>
      <c r="AD206" s="66">
        <f t="shared" si="21"/>
        <v>5.7803468208092483E-3</v>
      </c>
    </row>
    <row r="207" spans="1:35" s="360" customFormat="1">
      <c r="A207" s="75"/>
      <c r="B207" s="76"/>
      <c r="C207" s="77"/>
      <c r="D207" s="77"/>
      <c r="E207" s="77" t="s">
        <v>30</v>
      </c>
      <c r="F207" s="310" t="s">
        <v>42</v>
      </c>
      <c r="G207" s="310" t="s">
        <v>42</v>
      </c>
      <c r="H207" s="355">
        <f>(96+45)/2</f>
        <v>70.5</v>
      </c>
      <c r="I207" s="356"/>
      <c r="J207" s="310">
        <v>0</v>
      </c>
      <c r="K207" s="310">
        <v>0</v>
      </c>
      <c r="L207" s="354">
        <v>0</v>
      </c>
      <c r="M207" s="356"/>
      <c r="N207" s="358">
        <f>(143+47)/2</f>
        <v>95</v>
      </c>
      <c r="O207" s="357">
        <f>(42+105)/2</f>
        <v>73.5</v>
      </c>
      <c r="P207" s="371" t="s">
        <v>42</v>
      </c>
      <c r="Q207" s="356"/>
      <c r="R207" s="353">
        <v>0</v>
      </c>
      <c r="S207" s="356">
        <v>0</v>
      </c>
      <c r="T207" s="371">
        <v>0</v>
      </c>
      <c r="U207" s="374"/>
      <c r="W207" s="147" t="s">
        <v>43</v>
      </c>
      <c r="X207" s="147" t="s">
        <v>43</v>
      </c>
      <c r="Y207" s="87">
        <f t="shared" si="23"/>
        <v>0</v>
      </c>
      <c r="Z207" s="283">
        <f t="shared" si="19"/>
        <v>0</v>
      </c>
      <c r="AA207" s="86">
        <f>R207/(N207+R207)</f>
        <v>0</v>
      </c>
      <c r="AB207" s="89">
        <f t="shared" si="22"/>
        <v>0</v>
      </c>
      <c r="AC207" s="147" t="s">
        <v>43</v>
      </c>
      <c r="AD207" s="284">
        <f t="shared" si="21"/>
        <v>0</v>
      </c>
      <c r="AE207" s="361"/>
      <c r="AF207" s="362"/>
      <c r="AG207" s="361"/>
      <c r="AH207" s="362"/>
      <c r="AI207" s="361"/>
    </row>
    <row r="208" spans="1:35" s="199" customFormat="1" ht="47.25">
      <c r="A208" s="330" t="s">
        <v>85</v>
      </c>
      <c r="B208" s="154" t="s">
        <v>86</v>
      </c>
      <c r="C208" s="17" t="s">
        <v>23</v>
      </c>
      <c r="D208" s="126" t="s">
        <v>24</v>
      </c>
      <c r="E208" s="4" t="s">
        <v>64</v>
      </c>
      <c r="G208" s="331"/>
      <c r="H208" s="206"/>
      <c r="I208" s="289"/>
      <c r="J208" s="332"/>
      <c r="K208" s="289"/>
      <c r="L208" s="331"/>
      <c r="M208" s="289"/>
      <c r="N208" s="333"/>
      <c r="O208" s="332"/>
      <c r="P208" s="206"/>
      <c r="Q208" s="289"/>
      <c r="R208" s="191"/>
      <c r="S208" s="289"/>
      <c r="T208" s="331"/>
      <c r="U208" s="290" t="s">
        <v>34</v>
      </c>
      <c r="W208" s="196"/>
      <c r="X208" s="191"/>
      <c r="Y208" s="197"/>
      <c r="Z208" s="270"/>
      <c r="AA208" s="268"/>
      <c r="AB208" s="271"/>
      <c r="AC208" s="268"/>
      <c r="AD208" s="272"/>
      <c r="AE208" s="334">
        <v>0</v>
      </c>
      <c r="AF208" s="335">
        <v>0</v>
      </c>
      <c r="AG208" s="334">
        <v>1</v>
      </c>
      <c r="AH208" s="335">
        <v>0</v>
      </c>
      <c r="AI208" s="334">
        <v>1</v>
      </c>
    </row>
    <row r="209" spans="1:35" s="199" customFormat="1">
      <c r="A209" s="1"/>
      <c r="B209" s="2">
        <v>3</v>
      </c>
      <c r="C209" s="3" t="s">
        <v>36</v>
      </c>
      <c r="D209" s="17" t="s">
        <v>37</v>
      </c>
      <c r="E209" s="17" t="s">
        <v>51</v>
      </c>
      <c r="G209" s="331"/>
      <c r="H209" s="206"/>
      <c r="I209" s="289"/>
      <c r="J209" s="332"/>
      <c r="K209" s="289"/>
      <c r="L209" s="331"/>
      <c r="M209" s="289"/>
      <c r="N209" s="333"/>
      <c r="O209" s="332"/>
      <c r="P209" s="206"/>
      <c r="Q209" s="289"/>
      <c r="R209" s="191"/>
      <c r="S209" s="289"/>
      <c r="T209" s="331"/>
      <c r="U209" s="290" t="s">
        <v>34</v>
      </c>
      <c r="W209" s="196"/>
      <c r="X209" s="191"/>
      <c r="Y209" s="197"/>
      <c r="Z209" s="336"/>
      <c r="AA209" s="191"/>
      <c r="AC209" s="191"/>
      <c r="AD209" s="337"/>
      <c r="AE209" s="334">
        <v>0</v>
      </c>
      <c r="AF209" s="335">
        <v>1</v>
      </c>
      <c r="AG209" s="334">
        <v>0</v>
      </c>
      <c r="AH209" s="335">
        <v>0</v>
      </c>
      <c r="AI209" s="334">
        <v>1</v>
      </c>
    </row>
    <row r="210" spans="1:35" s="199" customFormat="1">
      <c r="A210" s="1"/>
      <c r="B210" s="154" t="s">
        <v>87</v>
      </c>
      <c r="C210" s="17" t="s">
        <v>23</v>
      </c>
      <c r="D210" s="126" t="s">
        <v>24</v>
      </c>
      <c r="E210" s="4" t="s">
        <v>64</v>
      </c>
      <c r="G210" s="331"/>
      <c r="H210" s="206"/>
      <c r="I210" s="289"/>
      <c r="J210" s="332"/>
      <c r="K210" s="289"/>
      <c r="L210" s="331"/>
      <c r="M210" s="289"/>
      <c r="N210" s="333"/>
      <c r="O210" s="332"/>
      <c r="P210" s="206"/>
      <c r="Q210" s="289"/>
      <c r="R210" s="191"/>
      <c r="S210" s="289"/>
      <c r="T210" s="331"/>
      <c r="U210" s="290" t="s">
        <v>34</v>
      </c>
      <c r="W210" s="196"/>
      <c r="X210" s="191"/>
      <c r="Y210" s="197"/>
      <c r="Z210" s="336"/>
      <c r="AA210" s="191"/>
      <c r="AC210" s="191"/>
      <c r="AD210" s="337"/>
      <c r="AE210" s="334">
        <v>0</v>
      </c>
      <c r="AF210" s="335">
        <v>0</v>
      </c>
      <c r="AG210" s="334">
        <v>1</v>
      </c>
      <c r="AH210" s="335">
        <v>0</v>
      </c>
      <c r="AI210" s="334">
        <v>1</v>
      </c>
    </row>
    <row r="211" spans="1:35" s="199" customFormat="1">
      <c r="A211" s="1"/>
      <c r="B211" s="2">
        <v>9</v>
      </c>
      <c r="C211" s="17" t="s">
        <v>23</v>
      </c>
      <c r="D211" s="126" t="s">
        <v>24</v>
      </c>
      <c r="E211" s="17" t="s">
        <v>54</v>
      </c>
      <c r="G211" s="331"/>
      <c r="H211" s="206"/>
      <c r="I211" s="289"/>
      <c r="J211" s="332"/>
      <c r="K211" s="289"/>
      <c r="L211" s="331"/>
      <c r="M211" s="289"/>
      <c r="N211" s="333"/>
      <c r="O211" s="332"/>
      <c r="P211" s="206"/>
      <c r="Q211" s="289"/>
      <c r="R211" s="191"/>
      <c r="S211" s="289"/>
      <c r="T211" s="331"/>
      <c r="U211" s="290" t="s">
        <v>34</v>
      </c>
      <c r="W211" s="196"/>
      <c r="X211" s="191"/>
      <c r="Y211" s="197"/>
      <c r="Z211" s="336"/>
      <c r="AA211" s="191"/>
      <c r="AC211" s="191"/>
      <c r="AD211" s="337"/>
      <c r="AE211" s="334">
        <v>0</v>
      </c>
      <c r="AF211" s="335">
        <v>0</v>
      </c>
      <c r="AG211" s="334">
        <v>1</v>
      </c>
      <c r="AH211" s="335">
        <v>0</v>
      </c>
      <c r="AI211" s="334">
        <v>1</v>
      </c>
    </row>
    <row r="212" spans="1:35" s="229" customFormat="1" ht="16.5" thickBot="1">
      <c r="A212" s="109"/>
      <c r="B212" s="110">
        <v>15</v>
      </c>
      <c r="C212" s="111" t="s">
        <v>31</v>
      </c>
      <c r="D212" s="111" t="s">
        <v>32</v>
      </c>
      <c r="E212" s="111" t="s">
        <v>50</v>
      </c>
      <c r="G212" s="341"/>
      <c r="H212" s="235"/>
      <c r="I212" s="292"/>
      <c r="J212" s="342"/>
      <c r="K212" s="292"/>
      <c r="L212" s="341"/>
      <c r="M212" s="292"/>
      <c r="N212" s="343"/>
      <c r="O212" s="342"/>
      <c r="P212" s="235"/>
      <c r="Q212" s="292"/>
      <c r="R212" s="221"/>
      <c r="S212" s="292"/>
      <c r="T212" s="341"/>
      <c r="U212" s="293" t="s">
        <v>34</v>
      </c>
      <c r="W212" s="226"/>
      <c r="X212" s="221"/>
      <c r="Y212" s="227"/>
      <c r="Z212" s="294"/>
      <c r="AA212" s="221"/>
      <c r="AC212" s="221"/>
      <c r="AD212" s="295"/>
      <c r="AE212" s="344">
        <v>0</v>
      </c>
      <c r="AF212" s="345">
        <v>0</v>
      </c>
      <c r="AG212" s="344">
        <v>1</v>
      </c>
      <c r="AH212" s="345">
        <v>0</v>
      </c>
      <c r="AI212" s="344">
        <v>1</v>
      </c>
    </row>
    <row r="213" spans="1:35" s="65" customFormat="1" ht="16.5" thickTop="1">
      <c r="A213" s="1" t="s">
        <v>88</v>
      </c>
      <c r="B213" s="2">
        <v>2</v>
      </c>
      <c r="C213" s="17" t="s">
        <v>23</v>
      </c>
      <c r="D213" s="126" t="s">
        <v>24</v>
      </c>
      <c r="E213" s="17" t="s">
        <v>25</v>
      </c>
      <c r="F213" s="323" t="s">
        <v>42</v>
      </c>
      <c r="G213" s="323" t="s">
        <v>42</v>
      </c>
      <c r="H213" s="94">
        <f>(34+96)/2</f>
        <v>65</v>
      </c>
      <c r="I213" s="95"/>
      <c r="J213" s="324">
        <v>0</v>
      </c>
      <c r="K213" s="324">
        <v>0</v>
      </c>
      <c r="L213" s="93">
        <v>0</v>
      </c>
      <c r="M213" s="95"/>
      <c r="N213" s="97">
        <f>(132+42)/2</f>
        <v>87</v>
      </c>
      <c r="O213" s="323" t="s">
        <v>42</v>
      </c>
      <c r="P213" s="323" t="s">
        <v>42</v>
      </c>
      <c r="Q213" s="95"/>
      <c r="R213" s="62">
        <v>0</v>
      </c>
      <c r="S213" s="323">
        <v>0</v>
      </c>
      <c r="T213" s="323">
        <v>0</v>
      </c>
      <c r="U213" s="325" t="s">
        <v>34</v>
      </c>
      <c r="V213" s="4" t="s">
        <v>35</v>
      </c>
      <c r="W213" s="134" t="s">
        <v>43</v>
      </c>
      <c r="X213" s="134" t="s">
        <v>43</v>
      </c>
      <c r="Y213" s="63">
        <f t="shared" si="23"/>
        <v>0</v>
      </c>
      <c r="Z213" s="64">
        <f t="shared" si="19"/>
        <v>0</v>
      </c>
      <c r="AA213" s="62">
        <f t="shared" ref="AA213:AA220" si="24">R213/(N213+R213)</f>
        <v>0</v>
      </c>
      <c r="AB213" s="134" t="s">
        <v>43</v>
      </c>
      <c r="AC213" s="134" t="s">
        <v>43</v>
      </c>
      <c r="AD213" s="66">
        <f t="shared" si="21"/>
        <v>0</v>
      </c>
      <c r="AE213" s="99">
        <v>1</v>
      </c>
      <c r="AF213" s="100">
        <v>0</v>
      </c>
      <c r="AG213" s="99">
        <v>0</v>
      </c>
      <c r="AH213" s="100">
        <v>0</v>
      </c>
      <c r="AI213" s="99">
        <v>0</v>
      </c>
    </row>
    <row r="214" spans="1:35" s="65" customFormat="1">
      <c r="A214" s="1"/>
      <c r="B214" s="2"/>
      <c r="C214" s="17"/>
      <c r="D214" s="17"/>
      <c r="E214" s="17" t="s">
        <v>28</v>
      </c>
      <c r="F214" s="309" t="s">
        <v>42</v>
      </c>
      <c r="G214" s="309" t="s">
        <v>42</v>
      </c>
      <c r="H214" s="94">
        <f>(27+85)/2</f>
        <v>56</v>
      </c>
      <c r="I214" s="95"/>
      <c r="J214" s="309">
        <v>0</v>
      </c>
      <c r="K214" s="309">
        <v>0</v>
      </c>
      <c r="L214" s="93">
        <v>0</v>
      </c>
      <c r="M214" s="95"/>
      <c r="N214" s="97">
        <f>(86+85)/2</f>
        <v>85.5</v>
      </c>
      <c r="O214" s="309" t="s">
        <v>42</v>
      </c>
      <c r="P214" s="309" t="s">
        <v>42</v>
      </c>
      <c r="Q214" s="95"/>
      <c r="R214" s="62">
        <v>0</v>
      </c>
      <c r="S214" s="309">
        <v>0</v>
      </c>
      <c r="T214" s="309">
        <v>0</v>
      </c>
      <c r="U214" s="98"/>
      <c r="W214" s="134" t="s">
        <v>43</v>
      </c>
      <c r="X214" s="134" t="s">
        <v>43</v>
      </c>
      <c r="Y214" s="63">
        <f t="shared" si="23"/>
        <v>0</v>
      </c>
      <c r="Z214" s="64">
        <f t="shared" si="19"/>
        <v>0</v>
      </c>
      <c r="AA214" s="62">
        <f t="shared" si="24"/>
        <v>0</v>
      </c>
      <c r="AB214" s="134" t="s">
        <v>43</v>
      </c>
      <c r="AC214" s="134" t="s">
        <v>43</v>
      </c>
      <c r="AD214" s="66">
        <f t="shared" si="21"/>
        <v>0</v>
      </c>
      <c r="AE214" s="99"/>
      <c r="AF214" s="100"/>
      <c r="AG214" s="99"/>
      <c r="AH214" s="100"/>
      <c r="AI214" s="99"/>
    </row>
    <row r="215" spans="1:35" s="65" customFormat="1">
      <c r="A215" s="1"/>
      <c r="B215" s="2"/>
      <c r="C215" s="17"/>
      <c r="D215" s="17"/>
      <c r="E215" s="17" t="s">
        <v>29</v>
      </c>
      <c r="F215" s="309" t="s">
        <v>42</v>
      </c>
      <c r="G215" s="309" t="s">
        <v>42</v>
      </c>
      <c r="H215" s="94">
        <f>(56+69)/2</f>
        <v>62.5</v>
      </c>
      <c r="I215" s="95"/>
      <c r="J215" s="309">
        <v>0</v>
      </c>
      <c r="K215" s="309">
        <v>0</v>
      </c>
      <c r="L215" s="93">
        <v>1</v>
      </c>
      <c r="M215" s="95"/>
      <c r="N215" s="97">
        <f>(44+186)/2</f>
        <v>115</v>
      </c>
      <c r="O215" s="309" t="s">
        <v>42</v>
      </c>
      <c r="P215" s="309" t="s">
        <v>42</v>
      </c>
      <c r="Q215" s="95"/>
      <c r="R215" s="62">
        <v>0</v>
      </c>
      <c r="S215" s="309">
        <v>0</v>
      </c>
      <c r="T215" s="309">
        <v>0</v>
      </c>
      <c r="U215" s="98"/>
      <c r="W215" s="134" t="s">
        <v>43</v>
      </c>
      <c r="X215" s="134" t="s">
        <v>43</v>
      </c>
      <c r="Y215" s="63">
        <f t="shared" si="23"/>
        <v>1.5748031496062992E-2</v>
      </c>
      <c r="Z215" s="64">
        <f t="shared" si="19"/>
        <v>1.5748031496062992E-2</v>
      </c>
      <c r="AA215" s="62">
        <f t="shared" si="24"/>
        <v>0</v>
      </c>
      <c r="AB215" s="134" t="s">
        <v>43</v>
      </c>
      <c r="AC215" s="134" t="s">
        <v>43</v>
      </c>
      <c r="AD215" s="66">
        <f t="shared" si="21"/>
        <v>0</v>
      </c>
      <c r="AE215" s="99"/>
      <c r="AF215" s="100"/>
      <c r="AG215" s="99"/>
      <c r="AH215" s="100"/>
      <c r="AI215" s="99"/>
    </row>
    <row r="216" spans="1:35" s="89" customFormat="1">
      <c r="A216" s="375"/>
      <c r="B216" s="76"/>
      <c r="C216" s="77"/>
      <c r="D216" s="77"/>
      <c r="E216" s="77" t="s">
        <v>30</v>
      </c>
      <c r="F216" s="310" t="s">
        <v>42</v>
      </c>
      <c r="G216" s="310" t="s">
        <v>42</v>
      </c>
      <c r="H216" s="102">
        <f>(37+55)/2</f>
        <v>46</v>
      </c>
      <c r="I216" s="103"/>
      <c r="J216" s="310">
        <v>0</v>
      </c>
      <c r="K216" s="310">
        <v>0</v>
      </c>
      <c r="L216" s="101">
        <v>0</v>
      </c>
      <c r="M216" s="103"/>
      <c r="N216" s="105">
        <f>(90+146)/2</f>
        <v>118</v>
      </c>
      <c r="O216" s="310" t="s">
        <v>42</v>
      </c>
      <c r="P216" s="310" t="s">
        <v>42</v>
      </c>
      <c r="Q216" s="103"/>
      <c r="R216" s="86">
        <v>1</v>
      </c>
      <c r="S216" s="310">
        <v>0</v>
      </c>
      <c r="T216" s="310">
        <v>0</v>
      </c>
      <c r="U216" s="106"/>
      <c r="W216" s="147" t="s">
        <v>43</v>
      </c>
      <c r="X216" s="147" t="s">
        <v>43</v>
      </c>
      <c r="Y216" s="87">
        <f t="shared" si="23"/>
        <v>0</v>
      </c>
      <c r="Z216" s="283">
        <f t="shared" si="19"/>
        <v>0</v>
      </c>
      <c r="AA216" s="86">
        <f t="shared" si="24"/>
        <v>8.4033613445378148E-3</v>
      </c>
      <c r="AB216" s="147" t="s">
        <v>43</v>
      </c>
      <c r="AC216" s="147" t="s">
        <v>43</v>
      </c>
      <c r="AD216" s="284">
        <f t="shared" si="21"/>
        <v>8.4033613445378148E-3</v>
      </c>
      <c r="AE216" s="107"/>
      <c r="AF216" s="108"/>
      <c r="AG216" s="107"/>
      <c r="AH216" s="108"/>
      <c r="AI216" s="107"/>
    </row>
    <row r="217" spans="1:35" s="65" customFormat="1">
      <c r="A217" s="4"/>
      <c r="B217" s="2">
        <v>5</v>
      </c>
      <c r="C217" s="17" t="s">
        <v>23</v>
      </c>
      <c r="D217" s="126" t="s">
        <v>24</v>
      </c>
      <c r="E217" s="17" t="s">
        <v>25</v>
      </c>
      <c r="F217" s="323" t="s">
        <v>42</v>
      </c>
      <c r="G217" s="93">
        <f>(54+129)/2</f>
        <v>91.5</v>
      </c>
      <c r="H217" s="323" t="s">
        <v>42</v>
      </c>
      <c r="I217" s="95"/>
      <c r="J217" s="324">
        <v>0</v>
      </c>
      <c r="K217" s="324">
        <v>2</v>
      </c>
      <c r="L217" s="324">
        <v>0</v>
      </c>
      <c r="M217" s="95"/>
      <c r="N217" s="97">
        <f>(55+165)/2</f>
        <v>110</v>
      </c>
      <c r="O217" s="323" t="s">
        <v>42</v>
      </c>
      <c r="P217" s="323" t="s">
        <v>42</v>
      </c>
      <c r="Q217" s="95"/>
      <c r="R217" s="62">
        <v>0</v>
      </c>
      <c r="S217" s="323">
        <v>0</v>
      </c>
      <c r="T217" s="323">
        <v>0</v>
      </c>
      <c r="U217" s="325" t="s">
        <v>34</v>
      </c>
      <c r="V217" s="4" t="s">
        <v>35</v>
      </c>
      <c r="W217" s="134" t="s">
        <v>43</v>
      </c>
      <c r="X217" s="62">
        <f t="shared" ref="X217:X224" si="25">K217/(G217+K217)</f>
        <v>2.1390374331550801E-2</v>
      </c>
      <c r="Y217" s="134" t="s">
        <v>43</v>
      </c>
      <c r="Z217" s="64">
        <f t="shared" si="19"/>
        <v>2.1390374331550801E-2</v>
      </c>
      <c r="AA217" s="62">
        <f t="shared" si="24"/>
        <v>0</v>
      </c>
      <c r="AB217" s="134" t="s">
        <v>43</v>
      </c>
      <c r="AC217" s="134" t="s">
        <v>43</v>
      </c>
      <c r="AD217" s="66">
        <f t="shared" si="21"/>
        <v>0</v>
      </c>
      <c r="AE217" s="99">
        <v>1</v>
      </c>
      <c r="AF217" s="100">
        <v>0</v>
      </c>
      <c r="AG217" s="99">
        <v>0</v>
      </c>
      <c r="AH217" s="100">
        <v>0</v>
      </c>
      <c r="AI217" s="99">
        <v>0</v>
      </c>
    </row>
    <row r="218" spans="1:35" s="65" customFormat="1">
      <c r="A218" s="1"/>
      <c r="B218" s="2"/>
      <c r="C218" s="17"/>
      <c r="D218" s="17"/>
      <c r="E218" s="17" t="s">
        <v>28</v>
      </c>
      <c r="F218" s="309" t="s">
        <v>42</v>
      </c>
      <c r="G218" s="93">
        <f>(48+121)/2</f>
        <v>84.5</v>
      </c>
      <c r="H218" s="309" t="s">
        <v>42</v>
      </c>
      <c r="I218" s="95"/>
      <c r="J218" s="309">
        <v>0</v>
      </c>
      <c r="K218" s="309">
        <v>0</v>
      </c>
      <c r="L218" s="309">
        <v>0</v>
      </c>
      <c r="M218" s="95"/>
      <c r="N218" s="97">
        <f>(71+47)/2</f>
        <v>59</v>
      </c>
      <c r="O218" s="309" t="s">
        <v>42</v>
      </c>
      <c r="P218" s="309" t="s">
        <v>42</v>
      </c>
      <c r="Q218" s="95"/>
      <c r="R218" s="62">
        <v>1</v>
      </c>
      <c r="S218" s="309">
        <v>0</v>
      </c>
      <c r="T218" s="309">
        <v>0</v>
      </c>
      <c r="U218" s="98"/>
      <c r="W218" s="134" t="s">
        <v>43</v>
      </c>
      <c r="X218" s="62">
        <f t="shared" si="25"/>
        <v>0</v>
      </c>
      <c r="Y218" s="134" t="s">
        <v>43</v>
      </c>
      <c r="Z218" s="64">
        <f t="shared" si="19"/>
        <v>0</v>
      </c>
      <c r="AA218" s="62">
        <f t="shared" si="24"/>
        <v>1.6666666666666666E-2</v>
      </c>
      <c r="AB218" s="134" t="s">
        <v>43</v>
      </c>
      <c r="AC218" s="134" t="s">
        <v>43</v>
      </c>
      <c r="AD218" s="66">
        <f t="shared" si="21"/>
        <v>1.6666666666666666E-2</v>
      </c>
      <c r="AE218" s="99"/>
      <c r="AF218" s="100"/>
      <c r="AG218" s="99"/>
      <c r="AH218" s="100"/>
      <c r="AI218" s="99"/>
    </row>
    <row r="219" spans="1:35" s="65" customFormat="1">
      <c r="A219" s="1"/>
      <c r="B219" s="2"/>
      <c r="C219" s="17"/>
      <c r="D219" s="17"/>
      <c r="E219" s="17" t="s">
        <v>29</v>
      </c>
      <c r="F219" s="309" t="s">
        <v>42</v>
      </c>
      <c r="G219" s="93">
        <f>(49+55)/2</f>
        <v>52</v>
      </c>
      <c r="H219" s="309" t="s">
        <v>42</v>
      </c>
      <c r="I219" s="95"/>
      <c r="J219" s="309">
        <v>0</v>
      </c>
      <c r="K219" s="309">
        <v>0</v>
      </c>
      <c r="L219" s="309">
        <v>0</v>
      </c>
      <c r="M219" s="95"/>
      <c r="N219" s="97">
        <f>(205+86)/2</f>
        <v>145.5</v>
      </c>
      <c r="O219" s="309" t="s">
        <v>42</v>
      </c>
      <c r="P219" s="309" t="s">
        <v>42</v>
      </c>
      <c r="Q219" s="95"/>
      <c r="R219" s="62">
        <v>1</v>
      </c>
      <c r="S219" s="309">
        <v>0</v>
      </c>
      <c r="T219" s="309">
        <v>0</v>
      </c>
      <c r="U219" s="98"/>
      <c r="W219" s="134" t="s">
        <v>43</v>
      </c>
      <c r="X219" s="62">
        <f t="shared" si="25"/>
        <v>0</v>
      </c>
      <c r="Y219" s="134" t="s">
        <v>43</v>
      </c>
      <c r="Z219" s="64">
        <f t="shared" si="19"/>
        <v>0</v>
      </c>
      <c r="AA219" s="62">
        <f t="shared" si="24"/>
        <v>6.8259385665529011E-3</v>
      </c>
      <c r="AB219" s="134" t="s">
        <v>43</v>
      </c>
      <c r="AC219" s="134" t="s">
        <v>43</v>
      </c>
      <c r="AD219" s="66">
        <f t="shared" si="21"/>
        <v>6.8259385665529011E-3</v>
      </c>
      <c r="AE219" s="99"/>
      <c r="AF219" s="100"/>
      <c r="AG219" s="99"/>
      <c r="AH219" s="100"/>
      <c r="AI219" s="99"/>
    </row>
    <row r="220" spans="1:35" s="89" customFormat="1">
      <c r="A220" s="75"/>
      <c r="B220" s="76"/>
      <c r="C220" s="77"/>
      <c r="D220" s="77"/>
      <c r="E220" s="77" t="s">
        <v>30</v>
      </c>
      <c r="F220" s="310" t="s">
        <v>42</v>
      </c>
      <c r="G220" s="101">
        <f>(42+53)/2</f>
        <v>47.5</v>
      </c>
      <c r="H220" s="310" t="s">
        <v>42</v>
      </c>
      <c r="I220" s="103"/>
      <c r="J220" s="310">
        <v>0</v>
      </c>
      <c r="K220" s="310">
        <v>0</v>
      </c>
      <c r="L220" s="310">
        <v>0</v>
      </c>
      <c r="M220" s="103"/>
      <c r="N220" s="105">
        <f>(92+67)/2</f>
        <v>79.5</v>
      </c>
      <c r="O220" s="310" t="s">
        <v>42</v>
      </c>
      <c r="P220" s="310" t="s">
        <v>42</v>
      </c>
      <c r="Q220" s="103"/>
      <c r="R220" s="86">
        <v>0</v>
      </c>
      <c r="S220" s="310">
        <v>0</v>
      </c>
      <c r="T220" s="310">
        <v>0</v>
      </c>
      <c r="U220" s="106"/>
      <c r="W220" s="147" t="s">
        <v>43</v>
      </c>
      <c r="X220" s="86">
        <f t="shared" si="25"/>
        <v>0</v>
      </c>
      <c r="Y220" s="147" t="s">
        <v>43</v>
      </c>
      <c r="Z220" s="285">
        <f t="shared" si="19"/>
        <v>0</v>
      </c>
      <c r="AA220" s="86">
        <f t="shared" si="24"/>
        <v>0</v>
      </c>
      <c r="AB220" s="147" t="s">
        <v>43</v>
      </c>
      <c r="AC220" s="147" t="s">
        <v>43</v>
      </c>
      <c r="AD220" s="284">
        <f t="shared" si="21"/>
        <v>0</v>
      </c>
      <c r="AE220" s="107"/>
      <c r="AF220" s="108"/>
      <c r="AG220" s="107"/>
      <c r="AH220" s="108"/>
      <c r="AI220" s="107"/>
    </row>
    <row r="221" spans="1:35" s="65" customFormat="1">
      <c r="A221" s="1"/>
      <c r="B221" s="2">
        <v>5</v>
      </c>
      <c r="C221" s="17" t="s">
        <v>36</v>
      </c>
      <c r="D221" s="17" t="s">
        <v>37</v>
      </c>
      <c r="E221" s="17" t="s">
        <v>25</v>
      </c>
      <c r="F221" s="323" t="s">
        <v>42</v>
      </c>
      <c r="G221" s="93">
        <v>54</v>
      </c>
      <c r="H221" s="323" t="s">
        <v>42</v>
      </c>
      <c r="I221" s="95"/>
      <c r="J221" s="324">
        <v>0</v>
      </c>
      <c r="K221" s="324">
        <v>0</v>
      </c>
      <c r="L221" s="324">
        <v>0</v>
      </c>
      <c r="M221" s="95"/>
      <c r="N221" s="323" t="s">
        <v>42</v>
      </c>
      <c r="O221" s="323" t="s">
        <v>42</v>
      </c>
      <c r="P221" s="94">
        <v>68</v>
      </c>
      <c r="Q221" s="95"/>
      <c r="R221" s="323">
        <v>0</v>
      </c>
      <c r="S221" s="323">
        <v>0</v>
      </c>
      <c r="T221" s="93">
        <v>1</v>
      </c>
      <c r="U221" s="98" t="s">
        <v>34</v>
      </c>
      <c r="V221" s="4" t="s">
        <v>35</v>
      </c>
      <c r="W221" s="134" t="s">
        <v>43</v>
      </c>
      <c r="X221" s="62">
        <f t="shared" si="25"/>
        <v>0</v>
      </c>
      <c r="Y221" s="134" t="s">
        <v>43</v>
      </c>
      <c r="Z221" s="64">
        <f t="shared" si="19"/>
        <v>0</v>
      </c>
      <c r="AA221" s="134" t="s">
        <v>43</v>
      </c>
      <c r="AB221" s="134" t="s">
        <v>43</v>
      </c>
      <c r="AC221" s="62">
        <f>T221/(P221+T221)</f>
        <v>1.4492753623188406E-2</v>
      </c>
      <c r="AD221" s="66">
        <f t="shared" si="21"/>
        <v>1.4492753623188406E-2</v>
      </c>
      <c r="AE221" s="99">
        <v>1</v>
      </c>
      <c r="AF221" s="100">
        <v>0</v>
      </c>
      <c r="AG221" s="99">
        <v>0</v>
      </c>
      <c r="AH221" s="100">
        <v>0</v>
      </c>
      <c r="AI221" s="99">
        <v>0</v>
      </c>
    </row>
    <row r="222" spans="1:35" s="65" customFormat="1">
      <c r="A222" s="1"/>
      <c r="B222" s="2"/>
      <c r="C222" s="17"/>
      <c r="D222" s="17"/>
      <c r="E222" s="17" t="s">
        <v>28</v>
      </c>
      <c r="F222" s="309" t="s">
        <v>42</v>
      </c>
      <c r="G222" s="93">
        <v>48</v>
      </c>
      <c r="H222" s="309" t="s">
        <v>42</v>
      </c>
      <c r="I222" s="95"/>
      <c r="J222" s="309">
        <v>0</v>
      </c>
      <c r="K222" s="309">
        <v>2</v>
      </c>
      <c r="L222" s="309">
        <v>0</v>
      </c>
      <c r="M222" s="95"/>
      <c r="N222" s="309" t="s">
        <v>42</v>
      </c>
      <c r="O222" s="309" t="s">
        <v>42</v>
      </c>
      <c r="P222" s="94">
        <v>39</v>
      </c>
      <c r="Q222" s="95"/>
      <c r="R222" s="309">
        <v>0</v>
      </c>
      <c r="S222" s="309">
        <v>0</v>
      </c>
      <c r="T222" s="93">
        <v>0</v>
      </c>
      <c r="U222" s="98"/>
      <c r="W222" s="134" t="s">
        <v>43</v>
      </c>
      <c r="X222" s="62">
        <f t="shared" si="25"/>
        <v>0.04</v>
      </c>
      <c r="Y222" s="134" t="s">
        <v>43</v>
      </c>
      <c r="Z222" s="64">
        <f t="shared" si="19"/>
        <v>0.04</v>
      </c>
      <c r="AA222" s="134" t="s">
        <v>43</v>
      </c>
      <c r="AB222" s="134" t="s">
        <v>43</v>
      </c>
      <c r="AC222" s="62">
        <f>T222/(P222+T222)</f>
        <v>0</v>
      </c>
      <c r="AD222" s="66">
        <f t="shared" si="21"/>
        <v>0</v>
      </c>
      <c r="AE222" s="99"/>
      <c r="AF222" s="100"/>
      <c r="AG222" s="99"/>
      <c r="AH222" s="100"/>
      <c r="AI222" s="99"/>
    </row>
    <row r="223" spans="1:35" s="65" customFormat="1">
      <c r="A223" s="1"/>
      <c r="B223" s="2"/>
      <c r="C223" s="17"/>
      <c r="D223" s="17"/>
      <c r="E223" s="17" t="s">
        <v>29</v>
      </c>
      <c r="F223" s="309" t="s">
        <v>42</v>
      </c>
      <c r="G223" s="93">
        <v>49</v>
      </c>
      <c r="H223" s="309" t="s">
        <v>42</v>
      </c>
      <c r="I223" s="95"/>
      <c r="J223" s="309">
        <v>0</v>
      </c>
      <c r="K223" s="309">
        <v>0</v>
      </c>
      <c r="L223" s="309">
        <v>0</v>
      </c>
      <c r="M223" s="95"/>
      <c r="N223" s="309" t="s">
        <v>42</v>
      </c>
      <c r="O223" s="309" t="s">
        <v>42</v>
      </c>
      <c r="P223" s="94">
        <v>56</v>
      </c>
      <c r="Q223" s="95"/>
      <c r="R223" s="309">
        <v>0</v>
      </c>
      <c r="S223" s="309">
        <v>0</v>
      </c>
      <c r="T223" s="93">
        <v>0</v>
      </c>
      <c r="U223" s="98"/>
      <c r="W223" s="134" t="s">
        <v>43</v>
      </c>
      <c r="X223" s="62">
        <f t="shared" si="25"/>
        <v>0</v>
      </c>
      <c r="Y223" s="134" t="s">
        <v>43</v>
      </c>
      <c r="Z223" s="64">
        <f t="shared" si="19"/>
        <v>0</v>
      </c>
      <c r="AA223" s="134" t="s">
        <v>43</v>
      </c>
      <c r="AB223" s="134" t="s">
        <v>43</v>
      </c>
      <c r="AC223" s="62">
        <f>T223/(P223+T223)</f>
        <v>0</v>
      </c>
      <c r="AD223" s="66">
        <f t="shared" si="21"/>
        <v>0</v>
      </c>
      <c r="AE223" s="99"/>
      <c r="AF223" s="100"/>
      <c r="AG223" s="99"/>
      <c r="AH223" s="100"/>
      <c r="AI223" s="99"/>
    </row>
    <row r="224" spans="1:35" s="89" customFormat="1">
      <c r="A224" s="75"/>
      <c r="B224" s="76"/>
      <c r="C224" s="77"/>
      <c r="D224" s="77"/>
      <c r="E224" s="77" t="s">
        <v>30</v>
      </c>
      <c r="F224" s="310" t="s">
        <v>42</v>
      </c>
      <c r="G224" s="101">
        <v>42</v>
      </c>
      <c r="H224" s="310" t="s">
        <v>42</v>
      </c>
      <c r="I224" s="103"/>
      <c r="J224" s="310">
        <v>0</v>
      </c>
      <c r="K224" s="310">
        <v>0</v>
      </c>
      <c r="L224" s="310">
        <v>0</v>
      </c>
      <c r="M224" s="103"/>
      <c r="N224" s="310" t="s">
        <v>42</v>
      </c>
      <c r="O224" s="310" t="s">
        <v>42</v>
      </c>
      <c r="P224" s="102">
        <v>48</v>
      </c>
      <c r="Q224" s="103"/>
      <c r="R224" s="310">
        <v>0</v>
      </c>
      <c r="S224" s="310">
        <v>0</v>
      </c>
      <c r="T224" s="101">
        <v>0</v>
      </c>
      <c r="U224" s="106"/>
      <c r="W224" s="147" t="s">
        <v>43</v>
      </c>
      <c r="X224" s="86">
        <f t="shared" si="25"/>
        <v>0</v>
      </c>
      <c r="Y224" s="147" t="s">
        <v>43</v>
      </c>
      <c r="Z224" s="283">
        <f t="shared" si="19"/>
        <v>0</v>
      </c>
      <c r="AA224" s="147" t="s">
        <v>43</v>
      </c>
      <c r="AB224" s="147" t="s">
        <v>43</v>
      </c>
      <c r="AC224" s="86">
        <f>T224/(P224+T224)</f>
        <v>0</v>
      </c>
      <c r="AD224" s="284">
        <f t="shared" si="21"/>
        <v>0</v>
      </c>
      <c r="AE224" s="107"/>
      <c r="AF224" s="108"/>
      <c r="AG224" s="107"/>
      <c r="AH224" s="108"/>
      <c r="AI224" s="107"/>
    </row>
    <row r="225" spans="1:35" s="199" customFormat="1" ht="47.25">
      <c r="A225" s="330" t="s">
        <v>89</v>
      </c>
      <c r="B225" s="2">
        <v>10</v>
      </c>
      <c r="C225" s="17" t="s">
        <v>36</v>
      </c>
      <c r="D225" s="17" t="s">
        <v>37</v>
      </c>
      <c r="E225" s="17" t="s">
        <v>57</v>
      </c>
      <c r="G225" s="331"/>
      <c r="H225" s="206"/>
      <c r="I225" s="289"/>
      <c r="J225" s="332"/>
      <c r="K225" s="289"/>
      <c r="L225" s="331"/>
      <c r="M225" s="289"/>
      <c r="N225" s="333"/>
      <c r="O225" s="332"/>
      <c r="P225" s="206"/>
      <c r="Q225" s="289"/>
      <c r="R225" s="191"/>
      <c r="S225" s="289"/>
      <c r="T225" s="331"/>
      <c r="U225" s="290" t="s">
        <v>34</v>
      </c>
      <c r="W225" s="196"/>
      <c r="X225" s="191"/>
      <c r="Y225" s="197"/>
      <c r="Z225" s="200"/>
      <c r="AA225" s="191"/>
      <c r="AC225" s="191"/>
      <c r="AD225" s="200"/>
      <c r="AE225" s="334">
        <v>0</v>
      </c>
      <c r="AF225" s="335">
        <v>1</v>
      </c>
      <c r="AG225" s="334">
        <v>0</v>
      </c>
      <c r="AH225" s="335">
        <v>0</v>
      </c>
      <c r="AI225" s="334">
        <v>1</v>
      </c>
    </row>
    <row r="226" spans="1:35" s="229" customFormat="1" ht="16.5" thickBot="1">
      <c r="A226" s="109"/>
      <c r="B226" s="110">
        <v>11</v>
      </c>
      <c r="C226" s="111" t="s">
        <v>23</v>
      </c>
      <c r="D226" s="213" t="s">
        <v>24</v>
      </c>
      <c r="E226" s="111" t="s">
        <v>51</v>
      </c>
      <c r="G226" s="341"/>
      <c r="H226" s="235"/>
      <c r="I226" s="292"/>
      <c r="J226" s="342"/>
      <c r="K226" s="292"/>
      <c r="L226" s="341"/>
      <c r="M226" s="292"/>
      <c r="N226" s="343"/>
      <c r="O226" s="342"/>
      <c r="P226" s="235"/>
      <c r="Q226" s="292"/>
      <c r="R226" s="221"/>
      <c r="S226" s="292"/>
      <c r="T226" s="341"/>
      <c r="U226" s="293" t="s">
        <v>34</v>
      </c>
      <c r="W226" s="226"/>
      <c r="X226" s="221"/>
      <c r="Y226" s="221"/>
      <c r="Z226" s="376"/>
      <c r="AA226" s="221"/>
      <c r="AC226" s="221"/>
      <c r="AD226" s="295"/>
      <c r="AE226" s="344">
        <v>0</v>
      </c>
      <c r="AF226" s="345">
        <v>1</v>
      </c>
      <c r="AG226" s="344">
        <v>0</v>
      </c>
      <c r="AH226" s="345">
        <v>0</v>
      </c>
      <c r="AI226" s="344">
        <v>1</v>
      </c>
    </row>
    <row r="227" spans="1:35" s="65" customFormat="1" ht="16.5" thickTop="1">
      <c r="A227" s="1" t="s">
        <v>90</v>
      </c>
      <c r="B227" s="2">
        <v>2</v>
      </c>
      <c r="C227" s="17" t="s">
        <v>36</v>
      </c>
      <c r="D227" s="17" t="s">
        <v>37</v>
      </c>
      <c r="E227" s="17" t="s">
        <v>25</v>
      </c>
      <c r="F227" s="323" t="s">
        <v>42</v>
      </c>
      <c r="G227" s="323" t="s">
        <v>42</v>
      </c>
      <c r="H227" s="323" t="s">
        <v>42</v>
      </c>
      <c r="I227" s="95"/>
      <c r="J227" s="324">
        <v>0</v>
      </c>
      <c r="K227" s="324">
        <v>0</v>
      </c>
      <c r="L227" s="324">
        <v>0</v>
      </c>
      <c r="M227" s="95"/>
      <c r="N227" s="97">
        <f>82</f>
        <v>82</v>
      </c>
      <c r="O227" s="323" t="s">
        <v>42</v>
      </c>
      <c r="P227" s="323" t="s">
        <v>42</v>
      </c>
      <c r="Q227" s="95"/>
      <c r="R227" s="62">
        <v>0</v>
      </c>
      <c r="S227" s="323">
        <v>0</v>
      </c>
      <c r="T227" s="323">
        <v>0</v>
      </c>
      <c r="U227" s="325" t="s">
        <v>34</v>
      </c>
      <c r="V227" s="4" t="s">
        <v>35</v>
      </c>
      <c r="W227" s="134" t="s">
        <v>43</v>
      </c>
      <c r="X227" s="134" t="s">
        <v>43</v>
      </c>
      <c r="Y227" s="134" t="s">
        <v>43</v>
      </c>
      <c r="Z227" s="64"/>
      <c r="AA227" s="62">
        <f>R227/(N227+R227)</f>
        <v>0</v>
      </c>
      <c r="AB227" s="134" t="s">
        <v>43</v>
      </c>
      <c r="AC227" s="134" t="s">
        <v>43</v>
      </c>
      <c r="AD227" s="66">
        <f t="shared" si="21"/>
        <v>0</v>
      </c>
      <c r="AE227" s="99">
        <v>0</v>
      </c>
      <c r="AF227" s="100">
        <v>0</v>
      </c>
      <c r="AG227" s="99">
        <v>1</v>
      </c>
      <c r="AH227" s="100">
        <v>0</v>
      </c>
      <c r="AI227" s="99">
        <v>0</v>
      </c>
    </row>
    <row r="228" spans="1:35" s="65" customFormat="1">
      <c r="A228" s="1"/>
      <c r="B228" s="2"/>
      <c r="C228" s="17"/>
      <c r="D228" s="17"/>
      <c r="E228" s="17" t="s">
        <v>28</v>
      </c>
      <c r="F228" s="309" t="s">
        <v>42</v>
      </c>
      <c r="G228" s="309" t="s">
        <v>42</v>
      </c>
      <c r="H228" s="309" t="s">
        <v>42</v>
      </c>
      <c r="I228" s="95"/>
      <c r="J228" s="309">
        <v>0</v>
      </c>
      <c r="K228" s="309">
        <v>0</v>
      </c>
      <c r="L228" s="309">
        <v>0</v>
      </c>
      <c r="M228" s="95"/>
      <c r="N228" s="97">
        <v>88</v>
      </c>
      <c r="O228" s="309" t="s">
        <v>42</v>
      </c>
      <c r="P228" s="309" t="s">
        <v>42</v>
      </c>
      <c r="Q228" s="95"/>
      <c r="R228" s="62">
        <v>0</v>
      </c>
      <c r="S228" s="309">
        <v>0</v>
      </c>
      <c r="T228" s="309">
        <v>0</v>
      </c>
      <c r="U228" s="98"/>
      <c r="W228" s="134" t="s">
        <v>43</v>
      </c>
      <c r="X228" s="134" t="s">
        <v>43</v>
      </c>
      <c r="Y228" s="134" t="s">
        <v>43</v>
      </c>
      <c r="Z228" s="64"/>
      <c r="AA228" s="62">
        <f>R228/(N228+R228)</f>
        <v>0</v>
      </c>
      <c r="AB228" s="134" t="s">
        <v>43</v>
      </c>
      <c r="AC228" s="134" t="s">
        <v>43</v>
      </c>
      <c r="AD228" s="66">
        <f t="shared" si="21"/>
        <v>0</v>
      </c>
      <c r="AE228" s="99"/>
      <c r="AF228" s="100"/>
      <c r="AG228" s="99"/>
      <c r="AH228" s="100"/>
      <c r="AI228" s="99"/>
    </row>
    <row r="229" spans="1:35" s="65" customFormat="1">
      <c r="A229" s="1"/>
      <c r="B229" s="2"/>
      <c r="C229" s="17"/>
      <c r="D229" s="17"/>
      <c r="E229" s="17" t="s">
        <v>29</v>
      </c>
      <c r="F229" s="309" t="s">
        <v>42</v>
      </c>
      <c r="G229" s="309" t="s">
        <v>42</v>
      </c>
      <c r="H229" s="309" t="s">
        <v>42</v>
      </c>
      <c r="I229" s="95"/>
      <c r="J229" s="309">
        <v>0</v>
      </c>
      <c r="K229" s="309">
        <v>0</v>
      </c>
      <c r="L229" s="309">
        <v>0</v>
      </c>
      <c r="M229" s="95"/>
      <c r="N229" s="97">
        <v>125</v>
      </c>
      <c r="O229" s="309" t="s">
        <v>42</v>
      </c>
      <c r="P229" s="309" t="s">
        <v>42</v>
      </c>
      <c r="Q229" s="95"/>
      <c r="R229" s="62">
        <v>2</v>
      </c>
      <c r="S229" s="309">
        <v>0</v>
      </c>
      <c r="T229" s="309">
        <v>0</v>
      </c>
      <c r="U229" s="98"/>
      <c r="W229" s="134" t="s">
        <v>43</v>
      </c>
      <c r="X229" s="134" t="s">
        <v>43</v>
      </c>
      <c r="Y229" s="134" t="s">
        <v>43</v>
      </c>
      <c r="Z229" s="64"/>
      <c r="AA229" s="62">
        <f>R229/(N229+R229)</f>
        <v>1.5748031496062992E-2</v>
      </c>
      <c r="AB229" s="134" t="s">
        <v>43</v>
      </c>
      <c r="AC229" s="134" t="s">
        <v>43</v>
      </c>
      <c r="AD229" s="66">
        <f t="shared" si="21"/>
        <v>1.5748031496062992E-2</v>
      </c>
      <c r="AE229" s="99"/>
      <c r="AF229" s="100"/>
      <c r="AG229" s="99"/>
      <c r="AH229" s="100"/>
      <c r="AI229" s="99"/>
    </row>
    <row r="230" spans="1:35" s="89" customFormat="1">
      <c r="A230" s="75"/>
      <c r="B230" s="76"/>
      <c r="C230" s="77"/>
      <c r="D230" s="77"/>
      <c r="E230" s="77" t="s">
        <v>30</v>
      </c>
      <c r="F230" s="310" t="s">
        <v>42</v>
      </c>
      <c r="G230" s="310" t="s">
        <v>42</v>
      </c>
      <c r="H230" s="310" t="s">
        <v>42</v>
      </c>
      <c r="I230" s="103"/>
      <c r="J230" s="310">
        <v>0</v>
      </c>
      <c r="K230" s="310">
        <v>0</v>
      </c>
      <c r="L230" s="310">
        <v>0</v>
      </c>
      <c r="M230" s="103"/>
      <c r="N230" s="105">
        <v>119</v>
      </c>
      <c r="O230" s="310" t="s">
        <v>42</v>
      </c>
      <c r="P230" s="310" t="s">
        <v>42</v>
      </c>
      <c r="Q230" s="103"/>
      <c r="R230" s="86">
        <v>0</v>
      </c>
      <c r="S230" s="310">
        <v>0</v>
      </c>
      <c r="T230" s="310">
        <v>0</v>
      </c>
      <c r="U230" s="106"/>
      <c r="W230" s="147" t="s">
        <v>43</v>
      </c>
      <c r="X230" s="147" t="s">
        <v>43</v>
      </c>
      <c r="Y230" s="147" t="s">
        <v>43</v>
      </c>
      <c r="Z230" s="285"/>
      <c r="AA230" s="86">
        <f>R230/(N230+R230)</f>
        <v>0</v>
      </c>
      <c r="AB230" s="147" t="s">
        <v>43</v>
      </c>
      <c r="AC230" s="147" t="s">
        <v>43</v>
      </c>
      <c r="AD230" s="284">
        <f t="shared" si="21"/>
        <v>0</v>
      </c>
      <c r="AE230" s="107"/>
      <c r="AF230" s="108"/>
      <c r="AG230" s="107"/>
      <c r="AH230" s="108"/>
      <c r="AI230" s="107"/>
    </row>
    <row r="231" spans="1:35" s="65" customFormat="1">
      <c r="A231" s="4"/>
      <c r="B231" s="154" t="s">
        <v>91</v>
      </c>
      <c r="C231" s="17" t="s">
        <v>23</v>
      </c>
      <c r="D231" s="126" t="s">
        <v>24</v>
      </c>
      <c r="E231" s="17" t="s">
        <v>25</v>
      </c>
      <c r="F231" s="323" t="s">
        <v>42</v>
      </c>
      <c r="G231" s="323" t="s">
        <v>42</v>
      </c>
      <c r="H231" s="94">
        <f>(85+33+58)/3</f>
        <v>58.666666666666664</v>
      </c>
      <c r="I231" s="95"/>
      <c r="J231" s="324">
        <v>0</v>
      </c>
      <c r="K231" s="324">
        <v>0</v>
      </c>
      <c r="L231" s="93">
        <v>0</v>
      </c>
      <c r="M231" s="95"/>
      <c r="N231" s="323" t="s">
        <v>42</v>
      </c>
      <c r="O231" s="96">
        <f>(71+17+43)/3</f>
        <v>43.666666666666664</v>
      </c>
      <c r="P231" s="94">
        <f>(86+34+64)/3</f>
        <v>61.333333333333336</v>
      </c>
      <c r="Q231" s="95"/>
      <c r="R231" s="323">
        <v>0</v>
      </c>
      <c r="S231" s="62">
        <v>0</v>
      </c>
      <c r="T231" s="93">
        <v>0</v>
      </c>
      <c r="U231" s="98" t="s">
        <v>34</v>
      </c>
      <c r="V231" s="4" t="s">
        <v>35</v>
      </c>
      <c r="W231" s="134" t="s">
        <v>43</v>
      </c>
      <c r="X231" s="134" t="s">
        <v>43</v>
      </c>
      <c r="Y231" s="63">
        <f t="shared" si="23"/>
        <v>0</v>
      </c>
      <c r="Z231" s="64">
        <f t="shared" si="19"/>
        <v>0</v>
      </c>
      <c r="AA231" s="134" t="s">
        <v>43</v>
      </c>
      <c r="AB231" s="65">
        <f t="shared" ref="AB231:AC234" si="26">S231/(O231+S231)</f>
        <v>0</v>
      </c>
      <c r="AC231" s="62">
        <f t="shared" si="26"/>
        <v>0</v>
      </c>
      <c r="AD231" s="66">
        <f t="shared" si="21"/>
        <v>0</v>
      </c>
      <c r="AE231" s="99">
        <v>1</v>
      </c>
      <c r="AF231" s="100">
        <v>0</v>
      </c>
      <c r="AG231" s="99">
        <v>0</v>
      </c>
      <c r="AH231" s="100">
        <v>0</v>
      </c>
      <c r="AI231" s="99">
        <v>0</v>
      </c>
    </row>
    <row r="232" spans="1:35" s="65" customFormat="1">
      <c r="A232" s="1"/>
      <c r="B232" s="2"/>
      <c r="C232" s="17"/>
      <c r="D232" s="17"/>
      <c r="E232" s="17" t="s">
        <v>28</v>
      </c>
      <c r="F232" s="309" t="s">
        <v>42</v>
      </c>
      <c r="G232" s="309" t="s">
        <v>42</v>
      </c>
      <c r="H232" s="94">
        <f>(84+30+58)/3</f>
        <v>57.333333333333336</v>
      </c>
      <c r="I232" s="95"/>
      <c r="J232" s="309">
        <v>0</v>
      </c>
      <c r="K232" s="309">
        <v>0</v>
      </c>
      <c r="L232" s="93">
        <v>0</v>
      </c>
      <c r="M232" s="95"/>
      <c r="N232" s="309" t="s">
        <v>42</v>
      </c>
      <c r="O232" s="96">
        <f>(88+30+56)/3</f>
        <v>58</v>
      </c>
      <c r="P232" s="94">
        <f>(97+36+55)/3</f>
        <v>62.666666666666664</v>
      </c>
      <c r="Q232" s="95"/>
      <c r="R232" s="309">
        <v>0</v>
      </c>
      <c r="S232" s="62">
        <v>1</v>
      </c>
      <c r="T232" s="93">
        <v>0</v>
      </c>
      <c r="U232" s="98"/>
      <c r="W232" s="134" t="s">
        <v>43</v>
      </c>
      <c r="X232" s="134" t="s">
        <v>43</v>
      </c>
      <c r="Y232" s="63">
        <f t="shared" si="23"/>
        <v>0</v>
      </c>
      <c r="Z232" s="64">
        <f t="shared" si="19"/>
        <v>0</v>
      </c>
      <c r="AA232" s="134" t="s">
        <v>43</v>
      </c>
      <c r="AB232" s="65">
        <f t="shared" si="26"/>
        <v>1.6949152542372881E-2</v>
      </c>
      <c r="AC232" s="62">
        <f t="shared" si="26"/>
        <v>0</v>
      </c>
      <c r="AD232" s="66">
        <f t="shared" si="21"/>
        <v>8.4745762711864406E-3</v>
      </c>
      <c r="AE232" s="99"/>
      <c r="AF232" s="100"/>
      <c r="AG232" s="99"/>
      <c r="AH232" s="100"/>
      <c r="AI232" s="99"/>
    </row>
    <row r="233" spans="1:35" s="65" customFormat="1">
      <c r="A233" s="1"/>
      <c r="B233" s="2"/>
      <c r="C233" s="17"/>
      <c r="D233" s="17"/>
      <c r="E233" s="17" t="s">
        <v>29</v>
      </c>
      <c r="F233" s="309" t="s">
        <v>42</v>
      </c>
      <c r="G233" s="309" t="s">
        <v>42</v>
      </c>
      <c r="H233" s="94">
        <f>(99+39+68)/3</f>
        <v>68.666666666666671</v>
      </c>
      <c r="I233" s="95"/>
      <c r="J233" s="309">
        <v>0</v>
      </c>
      <c r="K233" s="309">
        <v>0</v>
      </c>
      <c r="L233" s="93">
        <v>1</v>
      </c>
      <c r="M233" s="95"/>
      <c r="N233" s="309" t="s">
        <v>42</v>
      </c>
      <c r="O233" s="96">
        <f>(108+21+78)/3</f>
        <v>69</v>
      </c>
      <c r="P233" s="94">
        <f>(68+42+54)/2</f>
        <v>82</v>
      </c>
      <c r="Q233" s="95"/>
      <c r="R233" s="309">
        <v>0</v>
      </c>
      <c r="S233" s="62">
        <v>0</v>
      </c>
      <c r="T233" s="93">
        <v>0</v>
      </c>
      <c r="U233" s="98"/>
      <c r="W233" s="134" t="s">
        <v>43</v>
      </c>
      <c r="X233" s="134" t="s">
        <v>43</v>
      </c>
      <c r="Y233" s="63">
        <f t="shared" si="23"/>
        <v>1.4354066985645932E-2</v>
      </c>
      <c r="Z233" s="64">
        <f t="shared" si="19"/>
        <v>1.4354066985645932E-2</v>
      </c>
      <c r="AA233" s="134" t="s">
        <v>43</v>
      </c>
      <c r="AB233" s="65">
        <f t="shared" si="26"/>
        <v>0</v>
      </c>
      <c r="AC233" s="62">
        <f t="shared" si="26"/>
        <v>0</v>
      </c>
      <c r="AD233" s="66">
        <f t="shared" si="21"/>
        <v>0</v>
      </c>
      <c r="AE233" s="99"/>
      <c r="AF233" s="100"/>
      <c r="AG233" s="99"/>
      <c r="AH233" s="100"/>
      <c r="AI233" s="99"/>
    </row>
    <row r="234" spans="1:35" s="89" customFormat="1">
      <c r="A234" s="75"/>
      <c r="B234" s="76"/>
      <c r="C234" s="77"/>
      <c r="D234" s="77"/>
      <c r="E234" s="77" t="s">
        <v>30</v>
      </c>
      <c r="F234" s="310" t="s">
        <v>42</v>
      </c>
      <c r="G234" s="310" t="s">
        <v>42</v>
      </c>
      <c r="H234" s="102">
        <f>(73+32+52)/3</f>
        <v>52.333333333333336</v>
      </c>
      <c r="I234" s="103"/>
      <c r="J234" s="310">
        <v>0</v>
      </c>
      <c r="K234" s="310">
        <v>0</v>
      </c>
      <c r="L234" s="101">
        <v>0</v>
      </c>
      <c r="M234" s="103"/>
      <c r="N234" s="310" t="s">
        <v>42</v>
      </c>
      <c r="O234" s="104">
        <f>(92+43+48)/3</f>
        <v>61</v>
      </c>
      <c r="P234" s="102">
        <f>(76+32+53)/3</f>
        <v>53.666666666666664</v>
      </c>
      <c r="Q234" s="103"/>
      <c r="R234" s="310">
        <v>0</v>
      </c>
      <c r="S234" s="86">
        <v>0</v>
      </c>
      <c r="T234" s="101">
        <v>1</v>
      </c>
      <c r="U234" s="106"/>
      <c r="W234" s="147" t="s">
        <v>43</v>
      </c>
      <c r="X234" s="147" t="s">
        <v>43</v>
      </c>
      <c r="Y234" s="87">
        <f t="shared" si="23"/>
        <v>0</v>
      </c>
      <c r="Z234" s="283">
        <f t="shared" si="19"/>
        <v>0</v>
      </c>
      <c r="AA234" s="147" t="s">
        <v>43</v>
      </c>
      <c r="AB234" s="89">
        <f t="shared" si="26"/>
        <v>0</v>
      </c>
      <c r="AC234" s="86">
        <f t="shared" si="26"/>
        <v>1.8292682926829271E-2</v>
      </c>
      <c r="AD234" s="284">
        <f t="shared" si="21"/>
        <v>9.1463414634146353E-3</v>
      </c>
      <c r="AE234" s="107"/>
      <c r="AF234" s="108"/>
      <c r="AG234" s="107"/>
      <c r="AH234" s="108"/>
      <c r="AI234" s="107"/>
    </row>
    <row r="235" spans="1:35" s="65" customFormat="1">
      <c r="A235" s="1"/>
      <c r="B235" s="2">
        <v>3</v>
      </c>
      <c r="C235" s="17" t="s">
        <v>31</v>
      </c>
      <c r="D235" s="17" t="s">
        <v>32</v>
      </c>
      <c r="E235" s="17" t="s">
        <v>25</v>
      </c>
      <c r="F235" s="65">
        <v>48</v>
      </c>
      <c r="G235" s="323" t="s">
        <v>42</v>
      </c>
      <c r="H235" s="94">
        <v>58</v>
      </c>
      <c r="I235" s="95"/>
      <c r="J235" s="96">
        <v>0</v>
      </c>
      <c r="K235" s="324">
        <v>0</v>
      </c>
      <c r="L235" s="93">
        <v>1</v>
      </c>
      <c r="M235" s="95"/>
      <c r="N235" s="323" t="s">
        <v>42</v>
      </c>
      <c r="O235" s="323" t="s">
        <v>42</v>
      </c>
      <c r="P235" s="323" t="s">
        <v>42</v>
      </c>
      <c r="Q235" s="95"/>
      <c r="R235" s="323">
        <v>0</v>
      </c>
      <c r="S235" s="323">
        <v>0</v>
      </c>
      <c r="T235" s="323">
        <v>0</v>
      </c>
      <c r="U235" s="325" t="s">
        <v>34</v>
      </c>
      <c r="V235" s="4" t="s">
        <v>35</v>
      </c>
      <c r="W235" s="61">
        <f t="shared" ref="W235:W242" si="27">J235/(F235+J235)</f>
        <v>0</v>
      </c>
      <c r="X235" s="134" t="s">
        <v>43</v>
      </c>
      <c r="Y235" s="63">
        <f t="shared" si="23"/>
        <v>1.6949152542372881E-2</v>
      </c>
      <c r="Z235" s="64">
        <f t="shared" si="19"/>
        <v>8.4745762711864406E-3</v>
      </c>
      <c r="AA235" s="134" t="s">
        <v>43</v>
      </c>
      <c r="AB235" s="134" t="s">
        <v>43</v>
      </c>
      <c r="AC235" s="134" t="s">
        <v>43</v>
      </c>
      <c r="AD235" s="66"/>
      <c r="AE235" s="99">
        <v>0</v>
      </c>
      <c r="AF235" s="100">
        <v>1</v>
      </c>
      <c r="AG235" s="99">
        <v>0</v>
      </c>
      <c r="AH235" s="100">
        <v>0</v>
      </c>
      <c r="AI235" s="99">
        <v>0</v>
      </c>
    </row>
    <row r="236" spans="1:35" s="65" customFormat="1">
      <c r="A236" s="1"/>
      <c r="B236" s="2"/>
      <c r="C236" s="17"/>
      <c r="D236" s="17"/>
      <c r="E236" s="17" t="s">
        <v>28</v>
      </c>
      <c r="F236" s="65">
        <v>51</v>
      </c>
      <c r="G236" s="309" t="s">
        <v>42</v>
      </c>
      <c r="H236" s="94">
        <v>58</v>
      </c>
      <c r="I236" s="95"/>
      <c r="J236" s="96">
        <v>1</v>
      </c>
      <c r="K236" s="309">
        <v>0</v>
      </c>
      <c r="L236" s="93">
        <v>0</v>
      </c>
      <c r="M236" s="95"/>
      <c r="N236" s="309" t="s">
        <v>42</v>
      </c>
      <c r="O236" s="309" t="s">
        <v>42</v>
      </c>
      <c r="P236" s="309" t="s">
        <v>42</v>
      </c>
      <c r="Q236" s="95"/>
      <c r="R236" s="309">
        <v>0</v>
      </c>
      <c r="S236" s="309">
        <v>0</v>
      </c>
      <c r="T236" s="309">
        <v>0</v>
      </c>
      <c r="U236" s="98"/>
      <c r="W236" s="61">
        <f t="shared" si="27"/>
        <v>1.9230769230769232E-2</v>
      </c>
      <c r="X236" s="134" t="s">
        <v>43</v>
      </c>
      <c r="Y236" s="63">
        <f t="shared" si="23"/>
        <v>0</v>
      </c>
      <c r="Z236" s="64">
        <f t="shared" si="19"/>
        <v>9.6153846153846159E-3</v>
      </c>
      <c r="AA236" s="134" t="s">
        <v>43</v>
      </c>
      <c r="AB236" s="134" t="s">
        <v>43</v>
      </c>
      <c r="AC236" s="134" t="s">
        <v>43</v>
      </c>
      <c r="AD236" s="66"/>
      <c r="AE236" s="99"/>
      <c r="AF236" s="100"/>
      <c r="AG236" s="99"/>
      <c r="AH236" s="100"/>
      <c r="AI236" s="99"/>
    </row>
    <row r="237" spans="1:35" s="65" customFormat="1">
      <c r="A237" s="1"/>
      <c r="B237" s="2"/>
      <c r="C237" s="17"/>
      <c r="D237" s="17"/>
      <c r="E237" s="17" t="s">
        <v>29</v>
      </c>
      <c r="F237" s="65">
        <v>63</v>
      </c>
      <c r="G237" s="309" t="s">
        <v>42</v>
      </c>
      <c r="H237" s="94">
        <v>68</v>
      </c>
      <c r="I237" s="95"/>
      <c r="J237" s="96">
        <v>0</v>
      </c>
      <c r="K237" s="309">
        <v>0</v>
      </c>
      <c r="L237" s="93">
        <v>0</v>
      </c>
      <c r="M237" s="95"/>
      <c r="N237" s="309" t="s">
        <v>42</v>
      </c>
      <c r="O237" s="309" t="s">
        <v>42</v>
      </c>
      <c r="P237" s="309" t="s">
        <v>42</v>
      </c>
      <c r="Q237" s="95"/>
      <c r="R237" s="309">
        <v>0</v>
      </c>
      <c r="S237" s="309">
        <v>0</v>
      </c>
      <c r="T237" s="309">
        <v>0</v>
      </c>
      <c r="U237" s="98"/>
      <c r="W237" s="61">
        <f t="shared" si="27"/>
        <v>0</v>
      </c>
      <c r="X237" s="134" t="s">
        <v>43</v>
      </c>
      <c r="Y237" s="63">
        <f t="shared" si="23"/>
        <v>0</v>
      </c>
      <c r="Z237" s="64">
        <f t="shared" si="19"/>
        <v>0</v>
      </c>
      <c r="AA237" s="134" t="s">
        <v>43</v>
      </c>
      <c r="AB237" s="134" t="s">
        <v>43</v>
      </c>
      <c r="AC237" s="134" t="s">
        <v>43</v>
      </c>
      <c r="AD237" s="66"/>
      <c r="AE237" s="99"/>
      <c r="AF237" s="100"/>
      <c r="AG237" s="99"/>
      <c r="AH237" s="100"/>
      <c r="AI237" s="99"/>
    </row>
    <row r="238" spans="1:35" s="89" customFormat="1">
      <c r="A238" s="75"/>
      <c r="B238" s="76"/>
      <c r="C238" s="77"/>
      <c r="D238" s="77"/>
      <c r="E238" s="77" t="s">
        <v>30</v>
      </c>
      <c r="F238" s="89">
        <v>72</v>
      </c>
      <c r="G238" s="310" t="s">
        <v>42</v>
      </c>
      <c r="H238" s="102">
        <v>52</v>
      </c>
      <c r="I238" s="103"/>
      <c r="J238" s="104">
        <v>0</v>
      </c>
      <c r="K238" s="310">
        <v>0</v>
      </c>
      <c r="L238" s="101">
        <v>0</v>
      </c>
      <c r="M238" s="103"/>
      <c r="N238" s="310" t="s">
        <v>42</v>
      </c>
      <c r="O238" s="310" t="s">
        <v>42</v>
      </c>
      <c r="P238" s="310" t="s">
        <v>42</v>
      </c>
      <c r="Q238" s="103"/>
      <c r="R238" s="310">
        <v>0</v>
      </c>
      <c r="S238" s="310">
        <v>0</v>
      </c>
      <c r="T238" s="310">
        <v>0</v>
      </c>
      <c r="U238" s="106"/>
      <c r="W238" s="85">
        <f t="shared" si="27"/>
        <v>0</v>
      </c>
      <c r="X238" s="147" t="s">
        <v>43</v>
      </c>
      <c r="Y238" s="87">
        <f t="shared" si="23"/>
        <v>0</v>
      </c>
      <c r="Z238" s="283">
        <f t="shared" si="19"/>
        <v>0</v>
      </c>
      <c r="AA238" s="147" t="s">
        <v>43</v>
      </c>
      <c r="AB238" s="147" t="s">
        <v>43</v>
      </c>
      <c r="AC238" s="147" t="s">
        <v>43</v>
      </c>
      <c r="AD238" s="284"/>
      <c r="AE238" s="107"/>
      <c r="AF238" s="108"/>
      <c r="AG238" s="107"/>
      <c r="AH238" s="108"/>
      <c r="AI238" s="107"/>
    </row>
    <row r="239" spans="1:35" s="65" customFormat="1">
      <c r="A239" s="1"/>
      <c r="B239" s="2">
        <v>4</v>
      </c>
      <c r="C239" s="17" t="s">
        <v>23</v>
      </c>
      <c r="D239" s="126" t="s">
        <v>24</v>
      </c>
      <c r="E239" s="17" t="s">
        <v>25</v>
      </c>
      <c r="F239" s="65">
        <f>(48+89)/2</f>
        <v>68.5</v>
      </c>
      <c r="G239" s="93">
        <f>(43+81)/2</f>
        <v>62</v>
      </c>
      <c r="H239" s="94">
        <f>(58+66)/2</f>
        <v>62</v>
      </c>
      <c r="I239" s="95"/>
      <c r="J239" s="96">
        <v>0</v>
      </c>
      <c r="K239" s="95">
        <v>0</v>
      </c>
      <c r="L239" s="93">
        <v>0</v>
      </c>
      <c r="M239" s="95"/>
      <c r="N239" s="323" t="s">
        <v>42</v>
      </c>
      <c r="O239" s="323" t="s">
        <v>42</v>
      </c>
      <c r="P239" s="94">
        <f>(64+83)/2</f>
        <v>73.5</v>
      </c>
      <c r="Q239" s="95"/>
      <c r="R239" s="323">
        <v>0</v>
      </c>
      <c r="S239" s="323">
        <v>0</v>
      </c>
      <c r="T239" s="93">
        <v>0</v>
      </c>
      <c r="U239" s="98" t="s">
        <v>34</v>
      </c>
      <c r="V239" s="4" t="s">
        <v>35</v>
      </c>
      <c r="W239" s="61">
        <f t="shared" si="27"/>
        <v>0</v>
      </c>
      <c r="X239" s="62">
        <f>K239/(G239+K239)</f>
        <v>0</v>
      </c>
      <c r="Y239" s="63">
        <f t="shared" si="23"/>
        <v>0</v>
      </c>
      <c r="Z239" s="64">
        <f t="shared" si="19"/>
        <v>0</v>
      </c>
      <c r="AA239" s="134" t="s">
        <v>43</v>
      </c>
      <c r="AB239" s="134" t="s">
        <v>43</v>
      </c>
      <c r="AC239" s="62">
        <f>T239/(P239+T239)</f>
        <v>0</v>
      </c>
      <c r="AD239" s="66">
        <f t="shared" si="21"/>
        <v>0</v>
      </c>
      <c r="AE239" s="99">
        <v>1</v>
      </c>
      <c r="AF239" s="100">
        <v>0</v>
      </c>
      <c r="AG239" s="99">
        <v>0</v>
      </c>
      <c r="AH239" s="100">
        <v>0</v>
      </c>
      <c r="AI239" s="99">
        <v>0</v>
      </c>
    </row>
    <row r="240" spans="1:35" s="65" customFormat="1">
      <c r="A240" s="1"/>
      <c r="B240" s="2"/>
      <c r="C240" s="17"/>
      <c r="D240" s="17"/>
      <c r="E240" s="17" t="s">
        <v>28</v>
      </c>
      <c r="F240" s="65">
        <f>(51+88)/2</f>
        <v>69.5</v>
      </c>
      <c r="G240" s="93">
        <f>(41+71)/2</f>
        <v>56</v>
      </c>
      <c r="H240" s="94">
        <f>(58+93)/2</f>
        <v>75.5</v>
      </c>
      <c r="I240" s="95"/>
      <c r="J240" s="96">
        <v>1</v>
      </c>
      <c r="K240" s="95">
        <v>0</v>
      </c>
      <c r="L240" s="93">
        <v>0</v>
      </c>
      <c r="M240" s="95"/>
      <c r="N240" s="309" t="s">
        <v>42</v>
      </c>
      <c r="O240" s="309" t="s">
        <v>42</v>
      </c>
      <c r="P240" s="94">
        <f>(55+55)/2</f>
        <v>55</v>
      </c>
      <c r="Q240" s="95"/>
      <c r="R240" s="309">
        <v>0</v>
      </c>
      <c r="S240" s="309">
        <v>0</v>
      </c>
      <c r="T240" s="93">
        <v>0</v>
      </c>
      <c r="U240" s="98"/>
      <c r="W240" s="61">
        <f t="shared" si="27"/>
        <v>1.4184397163120567E-2</v>
      </c>
      <c r="X240" s="62">
        <f>K240/(G240+K240)</f>
        <v>0</v>
      </c>
      <c r="Y240" s="63">
        <f t="shared" si="23"/>
        <v>0</v>
      </c>
      <c r="Z240" s="64">
        <f t="shared" si="19"/>
        <v>4.7281323877068557E-3</v>
      </c>
      <c r="AA240" s="134" t="s">
        <v>43</v>
      </c>
      <c r="AB240" s="134" t="s">
        <v>43</v>
      </c>
      <c r="AC240" s="62">
        <f>T240/(P240+T240)</f>
        <v>0</v>
      </c>
      <c r="AD240" s="66">
        <f t="shared" si="21"/>
        <v>0</v>
      </c>
      <c r="AE240" s="99"/>
      <c r="AF240" s="100"/>
      <c r="AG240" s="99"/>
      <c r="AH240" s="100"/>
      <c r="AI240" s="99"/>
    </row>
    <row r="241" spans="1:35" s="65" customFormat="1">
      <c r="A241" s="1"/>
      <c r="B241" s="2"/>
      <c r="C241" s="17"/>
      <c r="D241" s="17"/>
      <c r="E241" s="17" t="s">
        <v>29</v>
      </c>
      <c r="F241" s="65">
        <f>(63+47)/2</f>
        <v>55</v>
      </c>
      <c r="G241" s="93">
        <f>(81+79)/2</f>
        <v>80</v>
      </c>
      <c r="H241" s="94">
        <f>(68+79)/2</f>
        <v>73.5</v>
      </c>
      <c r="I241" s="95"/>
      <c r="J241" s="96">
        <v>0</v>
      </c>
      <c r="K241" s="95">
        <v>0</v>
      </c>
      <c r="L241" s="93">
        <v>0</v>
      </c>
      <c r="M241" s="95"/>
      <c r="N241" s="309" t="s">
        <v>42</v>
      </c>
      <c r="O241" s="309" t="s">
        <v>42</v>
      </c>
      <c r="P241" s="94">
        <f>(54+82)/2</f>
        <v>68</v>
      </c>
      <c r="Q241" s="95"/>
      <c r="R241" s="309">
        <v>0</v>
      </c>
      <c r="S241" s="309">
        <v>0</v>
      </c>
      <c r="T241" s="93">
        <v>1</v>
      </c>
      <c r="U241" s="98"/>
      <c r="W241" s="61">
        <f t="shared" si="27"/>
        <v>0</v>
      </c>
      <c r="X241" s="62">
        <f>K241/(G241+K241)</f>
        <v>0</v>
      </c>
      <c r="Y241" s="63">
        <f t="shared" si="23"/>
        <v>0</v>
      </c>
      <c r="Z241" s="64">
        <f t="shared" si="19"/>
        <v>0</v>
      </c>
      <c r="AA241" s="134" t="s">
        <v>43</v>
      </c>
      <c r="AB241" s="134" t="s">
        <v>43</v>
      </c>
      <c r="AC241" s="62">
        <f>T241/(P241+T241)</f>
        <v>1.4492753623188406E-2</v>
      </c>
      <c r="AD241" s="66">
        <f t="shared" si="21"/>
        <v>1.4492753623188406E-2</v>
      </c>
      <c r="AE241" s="99"/>
      <c r="AF241" s="100"/>
      <c r="AG241" s="99"/>
      <c r="AH241" s="100"/>
      <c r="AI241" s="99"/>
    </row>
    <row r="242" spans="1:35" s="89" customFormat="1">
      <c r="A242" s="75"/>
      <c r="B242" s="76"/>
      <c r="C242" s="77"/>
      <c r="D242" s="77"/>
      <c r="E242" s="77" t="s">
        <v>30</v>
      </c>
      <c r="F242" s="89">
        <f>(72+51)/2</f>
        <v>61.5</v>
      </c>
      <c r="G242" s="101">
        <f>(65+70)/2</f>
        <v>67.5</v>
      </c>
      <c r="H242" s="102">
        <f>(52+54)/2</f>
        <v>53</v>
      </c>
      <c r="I242" s="103"/>
      <c r="J242" s="104">
        <v>0</v>
      </c>
      <c r="K242" s="103">
        <v>1</v>
      </c>
      <c r="L242" s="101">
        <v>1</v>
      </c>
      <c r="M242" s="103"/>
      <c r="N242" s="310" t="s">
        <v>42</v>
      </c>
      <c r="O242" s="310" t="s">
        <v>42</v>
      </c>
      <c r="P242" s="102">
        <f>(53+55)/2</f>
        <v>54</v>
      </c>
      <c r="Q242" s="103"/>
      <c r="R242" s="310">
        <v>0</v>
      </c>
      <c r="S242" s="310">
        <v>0</v>
      </c>
      <c r="T242" s="101">
        <v>0</v>
      </c>
      <c r="U242" s="106"/>
      <c r="W242" s="85">
        <f t="shared" si="27"/>
        <v>0</v>
      </c>
      <c r="X242" s="86">
        <f>K242/(G242+K242)</f>
        <v>1.4598540145985401E-2</v>
      </c>
      <c r="Y242" s="87">
        <f t="shared" si="23"/>
        <v>1.8518518518518517E-2</v>
      </c>
      <c r="Z242" s="283">
        <f t="shared" ref="Z242:Z283" si="28">AVERAGE(W242:Y242)</f>
        <v>1.1039019554834639E-2</v>
      </c>
      <c r="AA242" s="147" t="s">
        <v>43</v>
      </c>
      <c r="AB242" s="147" t="s">
        <v>43</v>
      </c>
      <c r="AC242" s="86">
        <f>T242/(P242+T242)</f>
        <v>0</v>
      </c>
      <c r="AD242" s="284">
        <f t="shared" si="21"/>
        <v>0</v>
      </c>
      <c r="AE242" s="107"/>
      <c r="AF242" s="108"/>
      <c r="AG242" s="107"/>
      <c r="AH242" s="108"/>
      <c r="AI242" s="107"/>
    </row>
    <row r="243" spans="1:35" s="65" customFormat="1">
      <c r="A243" s="1"/>
      <c r="B243" s="2">
        <v>7</v>
      </c>
      <c r="C243" s="17" t="s">
        <v>31</v>
      </c>
      <c r="D243" s="17" t="s">
        <v>32</v>
      </c>
      <c r="E243" s="17" t="s">
        <v>25</v>
      </c>
      <c r="F243" s="323" t="s">
        <v>42</v>
      </c>
      <c r="G243" s="323" t="s">
        <v>42</v>
      </c>
      <c r="H243" s="94">
        <v>52</v>
      </c>
      <c r="I243" s="95"/>
      <c r="J243" s="324">
        <v>0</v>
      </c>
      <c r="K243" s="324">
        <v>0</v>
      </c>
      <c r="L243" s="93">
        <v>2</v>
      </c>
      <c r="M243" s="95"/>
      <c r="N243" s="323" t="s">
        <v>42</v>
      </c>
      <c r="O243" s="323" t="s">
        <v>42</v>
      </c>
      <c r="P243" s="323" t="s">
        <v>42</v>
      </c>
      <c r="Q243" s="95"/>
      <c r="R243" s="323">
        <v>0</v>
      </c>
      <c r="S243" s="323">
        <v>0</v>
      </c>
      <c r="T243" s="323">
        <v>0</v>
      </c>
      <c r="U243" s="325" t="s">
        <v>34</v>
      </c>
      <c r="V243" s="4" t="s">
        <v>35</v>
      </c>
      <c r="W243" s="134" t="s">
        <v>43</v>
      </c>
      <c r="X243" s="134" t="s">
        <v>43</v>
      </c>
      <c r="Y243" s="63">
        <f t="shared" si="23"/>
        <v>3.7037037037037035E-2</v>
      </c>
      <c r="Z243" s="64">
        <f t="shared" si="28"/>
        <v>3.7037037037037035E-2</v>
      </c>
      <c r="AA243" s="134" t="s">
        <v>43</v>
      </c>
      <c r="AB243" s="134" t="s">
        <v>43</v>
      </c>
      <c r="AC243" s="134" t="s">
        <v>43</v>
      </c>
      <c r="AD243" s="66"/>
      <c r="AE243" s="99">
        <v>0</v>
      </c>
      <c r="AF243" s="100">
        <v>1</v>
      </c>
      <c r="AG243" s="99">
        <v>0</v>
      </c>
      <c r="AH243" s="100">
        <v>0</v>
      </c>
      <c r="AI243" s="99">
        <v>0</v>
      </c>
    </row>
    <row r="244" spans="1:35" s="65" customFormat="1">
      <c r="A244" s="1"/>
      <c r="B244" s="2"/>
      <c r="C244" s="17"/>
      <c r="D244" s="17"/>
      <c r="E244" s="17" t="s">
        <v>28</v>
      </c>
      <c r="F244" s="309" t="s">
        <v>42</v>
      </c>
      <c r="G244" s="309" t="s">
        <v>42</v>
      </c>
      <c r="H244" s="94">
        <v>39</v>
      </c>
      <c r="I244" s="95"/>
      <c r="J244" s="309">
        <v>0</v>
      </c>
      <c r="K244" s="309">
        <v>0</v>
      </c>
      <c r="L244" s="93">
        <v>0</v>
      </c>
      <c r="M244" s="95"/>
      <c r="N244" s="309" t="s">
        <v>42</v>
      </c>
      <c r="O244" s="309" t="s">
        <v>42</v>
      </c>
      <c r="P244" s="309" t="s">
        <v>42</v>
      </c>
      <c r="Q244" s="95"/>
      <c r="R244" s="309">
        <v>0</v>
      </c>
      <c r="S244" s="309">
        <v>0</v>
      </c>
      <c r="T244" s="309">
        <v>0</v>
      </c>
      <c r="U244" s="98"/>
      <c r="W244" s="134" t="s">
        <v>43</v>
      </c>
      <c r="X244" s="134" t="s">
        <v>43</v>
      </c>
      <c r="Y244" s="63">
        <f t="shared" si="23"/>
        <v>0</v>
      </c>
      <c r="Z244" s="64">
        <f t="shared" si="28"/>
        <v>0</v>
      </c>
      <c r="AA244" s="134" t="s">
        <v>43</v>
      </c>
      <c r="AB244" s="134" t="s">
        <v>43</v>
      </c>
      <c r="AC244" s="134" t="s">
        <v>43</v>
      </c>
      <c r="AD244" s="66"/>
      <c r="AE244" s="99"/>
      <c r="AF244" s="100"/>
      <c r="AG244" s="99"/>
      <c r="AH244" s="100"/>
      <c r="AI244" s="99"/>
    </row>
    <row r="245" spans="1:35" s="65" customFormat="1">
      <c r="A245" s="1"/>
      <c r="B245" s="2"/>
      <c r="C245" s="17"/>
      <c r="D245" s="17"/>
      <c r="E245" s="17" t="s">
        <v>29</v>
      </c>
      <c r="F245" s="309" t="s">
        <v>42</v>
      </c>
      <c r="G245" s="309" t="s">
        <v>42</v>
      </c>
      <c r="H245" s="94">
        <v>46</v>
      </c>
      <c r="I245" s="95"/>
      <c r="J245" s="309">
        <v>0</v>
      </c>
      <c r="K245" s="309">
        <v>0</v>
      </c>
      <c r="L245" s="93">
        <v>0</v>
      </c>
      <c r="M245" s="95"/>
      <c r="N245" s="309" t="s">
        <v>42</v>
      </c>
      <c r="O245" s="309" t="s">
        <v>42</v>
      </c>
      <c r="P245" s="309" t="s">
        <v>42</v>
      </c>
      <c r="Q245" s="95"/>
      <c r="R245" s="309">
        <v>0</v>
      </c>
      <c r="S245" s="309">
        <v>0</v>
      </c>
      <c r="T245" s="309">
        <v>0</v>
      </c>
      <c r="U245" s="98"/>
      <c r="W245" s="134" t="s">
        <v>43</v>
      </c>
      <c r="X245" s="134" t="s">
        <v>43</v>
      </c>
      <c r="Y245" s="63">
        <f t="shared" si="23"/>
        <v>0</v>
      </c>
      <c r="Z245" s="64">
        <f t="shared" si="28"/>
        <v>0</v>
      </c>
      <c r="AA245" s="134" t="s">
        <v>43</v>
      </c>
      <c r="AB245" s="134" t="s">
        <v>43</v>
      </c>
      <c r="AC245" s="134" t="s">
        <v>43</v>
      </c>
      <c r="AD245" s="66"/>
      <c r="AE245" s="99"/>
      <c r="AF245" s="100"/>
      <c r="AG245" s="99"/>
      <c r="AH245" s="100"/>
      <c r="AI245" s="99"/>
    </row>
    <row r="246" spans="1:35" s="89" customFormat="1">
      <c r="A246" s="75"/>
      <c r="B246" s="76"/>
      <c r="C246" s="77"/>
      <c r="D246" s="77"/>
      <c r="E246" s="77" t="s">
        <v>30</v>
      </c>
      <c r="F246" s="310" t="s">
        <v>42</v>
      </c>
      <c r="G246" s="310" t="s">
        <v>42</v>
      </c>
      <c r="H246" s="102">
        <v>18</v>
      </c>
      <c r="I246" s="103"/>
      <c r="J246" s="310">
        <v>0</v>
      </c>
      <c r="K246" s="310">
        <v>0</v>
      </c>
      <c r="L246" s="101">
        <v>0</v>
      </c>
      <c r="M246" s="103"/>
      <c r="N246" s="310" t="s">
        <v>42</v>
      </c>
      <c r="O246" s="310" t="s">
        <v>42</v>
      </c>
      <c r="P246" s="310" t="s">
        <v>42</v>
      </c>
      <c r="Q246" s="103"/>
      <c r="R246" s="310">
        <v>0</v>
      </c>
      <c r="S246" s="310">
        <v>0</v>
      </c>
      <c r="T246" s="310">
        <v>0</v>
      </c>
      <c r="U246" s="106"/>
      <c r="W246" s="147" t="s">
        <v>43</v>
      </c>
      <c r="X246" s="147" t="s">
        <v>43</v>
      </c>
      <c r="Y246" s="87">
        <f t="shared" si="23"/>
        <v>0</v>
      </c>
      <c r="Z246" s="283">
        <f t="shared" si="28"/>
        <v>0</v>
      </c>
      <c r="AA246" s="147" t="s">
        <v>43</v>
      </c>
      <c r="AB246" s="147" t="s">
        <v>43</v>
      </c>
      <c r="AC246" s="147" t="s">
        <v>43</v>
      </c>
      <c r="AD246" s="284"/>
      <c r="AE246" s="107"/>
      <c r="AF246" s="108"/>
      <c r="AG246" s="107"/>
      <c r="AH246" s="108"/>
      <c r="AI246" s="107"/>
    </row>
    <row r="247" spans="1:35" s="65" customFormat="1">
      <c r="A247" s="1"/>
      <c r="B247" s="2">
        <v>8</v>
      </c>
      <c r="C247" s="17" t="s">
        <v>23</v>
      </c>
      <c r="D247" s="126" t="s">
        <v>24</v>
      </c>
      <c r="E247" s="17" t="s">
        <v>25</v>
      </c>
      <c r="F247" s="65">
        <v>39</v>
      </c>
      <c r="G247" s="323">
        <v>50</v>
      </c>
      <c r="H247" s="323">
        <v>52</v>
      </c>
      <c r="I247" s="95"/>
      <c r="J247" s="96">
        <f>(1+0)/2</f>
        <v>0.5</v>
      </c>
      <c r="K247" s="96">
        <f>(1+0)/2</f>
        <v>0.5</v>
      </c>
      <c r="L247" s="93">
        <f>(5+0)/2</f>
        <v>2.5</v>
      </c>
      <c r="M247" s="95"/>
      <c r="N247" s="97">
        <v>37</v>
      </c>
      <c r="O247" s="96">
        <v>34</v>
      </c>
      <c r="P247" s="94">
        <v>60</v>
      </c>
      <c r="Q247" s="95"/>
      <c r="R247" s="62">
        <f>(1+0)/2</f>
        <v>0.5</v>
      </c>
      <c r="S247" s="95">
        <f>(0+1)/2</f>
        <v>0.5</v>
      </c>
      <c r="T247" s="93">
        <f>(4+2)/2</f>
        <v>3</v>
      </c>
      <c r="U247" s="98" t="s">
        <v>34</v>
      </c>
      <c r="V247" s="4" t="s">
        <v>35</v>
      </c>
      <c r="W247" s="61">
        <f t="shared" ref="W247:X250" si="29">J247/(F247+J247)</f>
        <v>1.2658227848101266E-2</v>
      </c>
      <c r="X247" s="62">
        <f t="shared" si="29"/>
        <v>9.9009900990099011E-3</v>
      </c>
      <c r="Y247" s="63">
        <f t="shared" si="23"/>
        <v>4.5871559633027525E-2</v>
      </c>
      <c r="Z247" s="64">
        <f t="shared" si="28"/>
        <v>2.2810259193379562E-2</v>
      </c>
      <c r="AA247" s="62">
        <f t="shared" ref="AA247:AC250" si="30">R247/(N247+R247)</f>
        <v>1.3333333333333334E-2</v>
      </c>
      <c r="AB247" s="65">
        <f t="shared" si="30"/>
        <v>1.4492753623188406E-2</v>
      </c>
      <c r="AC247" s="62">
        <f t="shared" si="30"/>
        <v>4.7619047619047616E-2</v>
      </c>
      <c r="AD247" s="66">
        <f t="shared" si="21"/>
        <v>2.514837819185645E-2</v>
      </c>
      <c r="AE247" s="99">
        <v>1</v>
      </c>
      <c r="AF247" s="100">
        <v>0</v>
      </c>
      <c r="AG247" s="99">
        <v>0</v>
      </c>
      <c r="AH247" s="100">
        <v>1</v>
      </c>
      <c r="AI247" s="99">
        <v>0</v>
      </c>
    </row>
    <row r="248" spans="1:35" s="65" customFormat="1">
      <c r="A248" s="1"/>
      <c r="B248" s="2"/>
      <c r="C248" s="17"/>
      <c r="D248" s="17"/>
      <c r="E248" s="17" t="s">
        <v>28</v>
      </c>
      <c r="F248" s="65">
        <v>44</v>
      </c>
      <c r="G248" s="309">
        <v>48</v>
      </c>
      <c r="H248" s="309">
        <v>39</v>
      </c>
      <c r="I248" s="95"/>
      <c r="J248" s="96">
        <f>(1+0)/2</f>
        <v>0.5</v>
      </c>
      <c r="K248" s="96">
        <f>(1+0)/2</f>
        <v>0.5</v>
      </c>
      <c r="L248" s="93">
        <f>(3+0)/2</f>
        <v>1.5</v>
      </c>
      <c r="M248" s="95"/>
      <c r="N248" s="97">
        <v>38</v>
      </c>
      <c r="O248" s="96">
        <v>33</v>
      </c>
      <c r="P248" s="94">
        <v>36</v>
      </c>
      <c r="Q248" s="95"/>
      <c r="R248" s="62">
        <f>(1+0)/2</f>
        <v>0.5</v>
      </c>
      <c r="S248" s="95">
        <f>(1+1)/2</f>
        <v>1</v>
      </c>
      <c r="T248" s="93">
        <f>(3+0)/2</f>
        <v>1.5</v>
      </c>
      <c r="U248" s="98"/>
      <c r="W248" s="61">
        <f t="shared" si="29"/>
        <v>1.1235955056179775E-2</v>
      </c>
      <c r="X248" s="62">
        <f t="shared" si="29"/>
        <v>1.0309278350515464E-2</v>
      </c>
      <c r="Y248" s="63">
        <f t="shared" si="23"/>
        <v>3.7037037037037035E-2</v>
      </c>
      <c r="Z248" s="64">
        <f t="shared" si="28"/>
        <v>1.9527423481244092E-2</v>
      </c>
      <c r="AA248" s="62">
        <f t="shared" si="30"/>
        <v>1.2987012987012988E-2</v>
      </c>
      <c r="AB248" s="65">
        <f t="shared" si="30"/>
        <v>2.9411764705882353E-2</v>
      </c>
      <c r="AC248" s="62">
        <f t="shared" si="30"/>
        <v>0.04</v>
      </c>
      <c r="AD248" s="66">
        <f t="shared" si="21"/>
        <v>2.7466259230965111E-2</v>
      </c>
      <c r="AE248" s="99"/>
      <c r="AF248" s="100"/>
      <c r="AG248" s="99"/>
      <c r="AH248" s="100"/>
      <c r="AI248" s="99"/>
    </row>
    <row r="249" spans="1:35" s="65" customFormat="1">
      <c r="A249" s="1"/>
      <c r="B249" s="2"/>
      <c r="C249" s="17"/>
      <c r="D249" s="17"/>
      <c r="E249" s="17" t="s">
        <v>29</v>
      </c>
      <c r="F249" s="65">
        <v>40</v>
      </c>
      <c r="G249" s="309">
        <v>50</v>
      </c>
      <c r="H249" s="309">
        <v>46</v>
      </c>
      <c r="I249" s="95"/>
      <c r="J249" s="96">
        <f>(5+2)/2</f>
        <v>3.5</v>
      </c>
      <c r="K249" s="95">
        <f>(6+0)/2</f>
        <v>3</v>
      </c>
      <c r="L249" s="93">
        <f>(5+0)/2</f>
        <v>2.5</v>
      </c>
      <c r="M249" s="95"/>
      <c r="N249" s="97">
        <v>62</v>
      </c>
      <c r="O249" s="96">
        <v>48</v>
      </c>
      <c r="P249" s="94">
        <v>50</v>
      </c>
      <c r="Q249" s="95"/>
      <c r="R249" s="62">
        <f>(1+0)/2</f>
        <v>0.5</v>
      </c>
      <c r="S249" s="95">
        <f>(1+2)/2</f>
        <v>1.5</v>
      </c>
      <c r="T249" s="93">
        <f>(2+0)/2</f>
        <v>1</v>
      </c>
      <c r="U249" s="98"/>
      <c r="W249" s="61">
        <f t="shared" si="29"/>
        <v>8.0459770114942528E-2</v>
      </c>
      <c r="X249" s="62">
        <f t="shared" si="29"/>
        <v>5.6603773584905662E-2</v>
      </c>
      <c r="Y249" s="63">
        <f t="shared" si="23"/>
        <v>5.1546391752577317E-2</v>
      </c>
      <c r="Z249" s="64">
        <f t="shared" si="28"/>
        <v>6.2869978484141831E-2</v>
      </c>
      <c r="AA249" s="62">
        <f t="shared" si="30"/>
        <v>8.0000000000000002E-3</v>
      </c>
      <c r="AB249" s="65">
        <f t="shared" si="30"/>
        <v>3.0303030303030304E-2</v>
      </c>
      <c r="AC249" s="62">
        <f t="shared" si="30"/>
        <v>1.9607843137254902E-2</v>
      </c>
      <c r="AD249" s="66">
        <f t="shared" si="21"/>
        <v>1.930362448009507E-2</v>
      </c>
      <c r="AE249" s="99"/>
      <c r="AF249" s="100"/>
      <c r="AG249" s="99"/>
      <c r="AH249" s="100"/>
      <c r="AI249" s="99"/>
    </row>
    <row r="250" spans="1:35" s="89" customFormat="1">
      <c r="A250" s="75"/>
      <c r="B250" s="76"/>
      <c r="C250" s="77"/>
      <c r="D250" s="77"/>
      <c r="E250" s="77" t="s">
        <v>30</v>
      </c>
      <c r="F250" s="89">
        <v>35</v>
      </c>
      <c r="G250" s="310">
        <v>47</v>
      </c>
      <c r="H250" s="310">
        <v>18</v>
      </c>
      <c r="I250" s="103"/>
      <c r="J250" s="104">
        <f>(2+0)/2</f>
        <v>1</v>
      </c>
      <c r="K250" s="103">
        <v>0</v>
      </c>
      <c r="L250" s="101">
        <f>(1+1)/2</f>
        <v>1</v>
      </c>
      <c r="M250" s="103"/>
      <c r="N250" s="105">
        <v>59</v>
      </c>
      <c r="O250" s="104">
        <v>44</v>
      </c>
      <c r="P250" s="102">
        <v>37</v>
      </c>
      <c r="Q250" s="103"/>
      <c r="R250" s="86">
        <f>(4+0)/2</f>
        <v>2</v>
      </c>
      <c r="S250" s="103">
        <f>(2+0)/2</f>
        <v>1</v>
      </c>
      <c r="T250" s="101">
        <f>(2+1)/2</f>
        <v>1.5</v>
      </c>
      <c r="U250" s="106"/>
      <c r="W250" s="85">
        <f t="shared" si="29"/>
        <v>2.7777777777777776E-2</v>
      </c>
      <c r="X250" s="86">
        <f t="shared" si="29"/>
        <v>0</v>
      </c>
      <c r="Y250" s="87">
        <f t="shared" si="23"/>
        <v>5.2631578947368418E-2</v>
      </c>
      <c r="Z250" s="283">
        <f t="shared" si="28"/>
        <v>2.6803118908382065E-2</v>
      </c>
      <c r="AA250" s="86">
        <f t="shared" si="30"/>
        <v>3.2786885245901641E-2</v>
      </c>
      <c r="AB250" s="89">
        <f t="shared" si="30"/>
        <v>2.2222222222222223E-2</v>
      </c>
      <c r="AC250" s="86">
        <f t="shared" si="30"/>
        <v>3.896103896103896E-2</v>
      </c>
      <c r="AD250" s="284">
        <f t="shared" si="21"/>
        <v>3.1323382143054274E-2</v>
      </c>
      <c r="AE250" s="107"/>
      <c r="AF250" s="108"/>
      <c r="AG250" s="107"/>
      <c r="AH250" s="108"/>
      <c r="AI250" s="107"/>
    </row>
    <row r="251" spans="1:35" s="199" customFormat="1" ht="47.25">
      <c r="A251" s="330" t="s">
        <v>92</v>
      </c>
      <c r="B251" s="154" t="s">
        <v>93</v>
      </c>
      <c r="C251" s="17" t="s">
        <v>23</v>
      </c>
      <c r="D251" s="126" t="s">
        <v>24</v>
      </c>
      <c r="E251" s="17" t="s">
        <v>57</v>
      </c>
      <c r="G251" s="331"/>
      <c r="H251" s="206"/>
      <c r="I251" s="289"/>
      <c r="J251" s="332"/>
      <c r="K251" s="289"/>
      <c r="L251" s="331"/>
      <c r="M251" s="289"/>
      <c r="N251" s="333"/>
      <c r="O251" s="332"/>
      <c r="P251" s="206"/>
      <c r="Q251" s="289"/>
      <c r="R251" s="191"/>
      <c r="S251" s="289"/>
      <c r="T251" s="331"/>
      <c r="U251" s="290" t="s">
        <v>34</v>
      </c>
      <c r="W251" s="196"/>
      <c r="X251" s="191"/>
      <c r="Y251" s="197"/>
      <c r="Z251" s="200"/>
      <c r="AA251" s="191"/>
      <c r="AC251" s="191"/>
      <c r="AD251" s="200"/>
      <c r="AE251" s="334">
        <v>0</v>
      </c>
      <c r="AF251" s="335">
        <v>1</v>
      </c>
      <c r="AG251" s="334">
        <v>0</v>
      </c>
      <c r="AH251" s="335">
        <v>0</v>
      </c>
      <c r="AI251" s="334">
        <v>1</v>
      </c>
    </row>
    <row r="252" spans="1:35" s="199" customFormat="1">
      <c r="A252" s="338"/>
      <c r="B252" s="377">
        <v>4</v>
      </c>
      <c r="C252" s="17" t="s">
        <v>23</v>
      </c>
      <c r="D252" s="126" t="s">
        <v>24</v>
      </c>
      <c r="E252" s="339" t="s">
        <v>54</v>
      </c>
      <c r="G252" s="331"/>
      <c r="H252" s="206"/>
      <c r="I252" s="289"/>
      <c r="J252" s="332"/>
      <c r="K252" s="289"/>
      <c r="L252" s="331"/>
      <c r="M252" s="289"/>
      <c r="N252" s="333"/>
      <c r="O252" s="332"/>
      <c r="P252" s="206"/>
      <c r="Q252" s="289"/>
      <c r="R252" s="191"/>
      <c r="S252" s="289"/>
      <c r="T252" s="331"/>
      <c r="U252" s="290" t="s">
        <v>34</v>
      </c>
      <c r="W252" s="196"/>
      <c r="X252" s="191"/>
      <c r="Y252" s="197"/>
      <c r="Z252" s="200"/>
      <c r="AA252" s="191"/>
      <c r="AC252" s="191"/>
      <c r="AD252" s="200"/>
      <c r="AE252" s="334">
        <v>0</v>
      </c>
      <c r="AF252" s="335">
        <v>0</v>
      </c>
      <c r="AG252" s="334">
        <v>1</v>
      </c>
      <c r="AH252" s="335">
        <v>0</v>
      </c>
      <c r="AI252" s="334">
        <v>1</v>
      </c>
    </row>
    <row r="253" spans="1:35" s="199" customFormat="1">
      <c r="A253" s="1"/>
      <c r="B253" s="2">
        <v>9</v>
      </c>
      <c r="C253" s="17" t="s">
        <v>36</v>
      </c>
      <c r="D253" s="17" t="s">
        <v>37</v>
      </c>
      <c r="E253" s="17" t="s">
        <v>53</v>
      </c>
      <c r="G253" s="331"/>
      <c r="H253" s="206"/>
      <c r="I253" s="289"/>
      <c r="J253" s="332"/>
      <c r="K253" s="289"/>
      <c r="L253" s="331"/>
      <c r="M253" s="289"/>
      <c r="N253" s="333"/>
      <c r="O253" s="332"/>
      <c r="P253" s="206"/>
      <c r="Q253" s="289"/>
      <c r="R253" s="191"/>
      <c r="S253" s="289"/>
      <c r="T253" s="331"/>
      <c r="U253" s="290" t="s">
        <v>34</v>
      </c>
      <c r="W253" s="196"/>
      <c r="X253" s="191"/>
      <c r="Y253" s="197"/>
      <c r="Z253" s="200"/>
      <c r="AA253" s="191"/>
      <c r="AC253" s="191"/>
      <c r="AD253" s="200"/>
      <c r="AE253" s="334">
        <v>0</v>
      </c>
      <c r="AF253" s="335">
        <v>1</v>
      </c>
      <c r="AG253" s="334">
        <v>0</v>
      </c>
      <c r="AH253" s="335">
        <v>0</v>
      </c>
      <c r="AI253" s="334">
        <v>1</v>
      </c>
    </row>
    <row r="254" spans="1:35" s="229" customFormat="1" ht="16.5" thickBot="1">
      <c r="A254" s="109"/>
      <c r="B254" s="110">
        <v>9</v>
      </c>
      <c r="C254" s="111" t="s">
        <v>23</v>
      </c>
      <c r="D254" s="213" t="s">
        <v>24</v>
      </c>
      <c r="E254" s="111" t="s">
        <v>57</v>
      </c>
      <c r="G254" s="341"/>
      <c r="H254" s="235"/>
      <c r="I254" s="292"/>
      <c r="J254" s="342"/>
      <c r="K254" s="292"/>
      <c r="L254" s="341"/>
      <c r="M254" s="292"/>
      <c r="N254" s="343"/>
      <c r="O254" s="342"/>
      <c r="P254" s="235"/>
      <c r="Q254" s="292"/>
      <c r="R254" s="221"/>
      <c r="S254" s="292"/>
      <c r="T254" s="341"/>
      <c r="U254" s="293" t="s">
        <v>34</v>
      </c>
      <c r="W254" s="226"/>
      <c r="X254" s="221"/>
      <c r="Y254" s="227"/>
      <c r="Z254" s="294"/>
      <c r="AA254" s="221"/>
      <c r="AC254" s="221"/>
      <c r="AD254" s="295"/>
      <c r="AE254" s="344">
        <v>0</v>
      </c>
      <c r="AF254" s="345">
        <v>1</v>
      </c>
      <c r="AG254" s="344">
        <v>0</v>
      </c>
      <c r="AH254" s="345">
        <v>0</v>
      </c>
      <c r="AI254" s="344">
        <v>1</v>
      </c>
    </row>
    <row r="255" spans="1:35" ht="16.5" thickTop="1">
      <c r="A255" s="1" t="s">
        <v>94</v>
      </c>
      <c r="B255" s="2">
        <v>2</v>
      </c>
      <c r="C255" s="17" t="s">
        <v>31</v>
      </c>
      <c r="D255" s="17" t="s">
        <v>32</v>
      </c>
      <c r="E255" s="17" t="s">
        <v>25</v>
      </c>
      <c r="F255" s="11">
        <v>129</v>
      </c>
      <c r="G255" s="347">
        <v>147</v>
      </c>
      <c r="H255" s="348">
        <v>172</v>
      </c>
      <c r="J255" s="350">
        <v>13</v>
      </c>
      <c r="K255" s="349">
        <v>17</v>
      </c>
      <c r="L255" s="347">
        <v>4</v>
      </c>
      <c r="N255" s="351">
        <v>227</v>
      </c>
      <c r="O255" s="350">
        <v>191</v>
      </c>
      <c r="P255" s="348">
        <v>200</v>
      </c>
      <c r="R255" s="346">
        <v>3</v>
      </c>
      <c r="S255" s="349">
        <v>10</v>
      </c>
      <c r="T255" s="347">
        <v>15</v>
      </c>
      <c r="U255" s="352" t="s">
        <v>34</v>
      </c>
      <c r="V255" s="4" t="s">
        <v>35</v>
      </c>
      <c r="W255" s="61">
        <f t="shared" ref="W255:X258" si="31">J255/(F255+J255)</f>
        <v>9.154929577464789E-2</v>
      </c>
      <c r="X255" s="62">
        <f t="shared" si="31"/>
        <v>0.10365853658536585</v>
      </c>
      <c r="Y255" s="63">
        <f t="shared" si="23"/>
        <v>2.2727272727272728E-2</v>
      </c>
      <c r="Z255" s="64">
        <f t="shared" si="28"/>
        <v>7.2645035029095487E-2</v>
      </c>
      <c r="AA255" s="62">
        <f t="shared" ref="AA255:AC258" si="32">R255/(N255+R255)</f>
        <v>1.3043478260869565E-2</v>
      </c>
      <c r="AB255" s="65">
        <f t="shared" si="32"/>
        <v>4.975124378109453E-2</v>
      </c>
      <c r="AC255" s="62">
        <f t="shared" si="32"/>
        <v>6.9767441860465115E-2</v>
      </c>
      <c r="AD255" s="66">
        <f t="shared" si="21"/>
        <v>4.4187387967476399E-2</v>
      </c>
      <c r="AE255" s="16">
        <v>1</v>
      </c>
      <c r="AF255" s="15">
        <v>0</v>
      </c>
      <c r="AG255" s="16">
        <v>0</v>
      </c>
      <c r="AH255" s="15">
        <v>1</v>
      </c>
      <c r="AI255" s="16">
        <v>0</v>
      </c>
    </row>
    <row r="256" spans="1:35">
      <c r="E256" s="17" t="s">
        <v>28</v>
      </c>
      <c r="F256" s="11">
        <v>172</v>
      </c>
      <c r="G256" s="347">
        <v>149</v>
      </c>
      <c r="H256" s="348">
        <v>155</v>
      </c>
      <c r="J256" s="350">
        <v>14</v>
      </c>
      <c r="K256" s="349">
        <v>15</v>
      </c>
      <c r="L256" s="347">
        <v>4</v>
      </c>
      <c r="N256" s="351">
        <v>162</v>
      </c>
      <c r="O256" s="350">
        <v>139</v>
      </c>
      <c r="P256" s="348">
        <v>133</v>
      </c>
      <c r="R256" s="346">
        <v>0</v>
      </c>
      <c r="S256" s="349">
        <v>13</v>
      </c>
      <c r="T256" s="347">
        <v>15</v>
      </c>
      <c r="W256" s="61">
        <f t="shared" si="31"/>
        <v>7.5268817204301078E-2</v>
      </c>
      <c r="X256" s="62">
        <f t="shared" si="31"/>
        <v>9.1463414634146339E-2</v>
      </c>
      <c r="Y256" s="63">
        <f t="shared" si="23"/>
        <v>2.5157232704402517E-2</v>
      </c>
      <c r="Z256" s="64">
        <f t="shared" si="28"/>
        <v>6.3963154847616652E-2</v>
      </c>
      <c r="AA256" s="62">
        <f t="shared" si="32"/>
        <v>0</v>
      </c>
      <c r="AB256" s="65">
        <f t="shared" si="32"/>
        <v>8.5526315789473686E-2</v>
      </c>
      <c r="AC256" s="62">
        <f t="shared" si="32"/>
        <v>0.10135135135135136</v>
      </c>
      <c r="AD256" s="66">
        <f t="shared" si="21"/>
        <v>6.2292555713608345E-2</v>
      </c>
    </row>
    <row r="257" spans="1:35">
      <c r="E257" s="17" t="s">
        <v>29</v>
      </c>
      <c r="F257" s="11">
        <v>141</v>
      </c>
      <c r="G257" s="347">
        <v>171</v>
      </c>
      <c r="H257" s="348">
        <v>148</v>
      </c>
      <c r="J257" s="350">
        <v>2</v>
      </c>
      <c r="K257" s="349">
        <v>5</v>
      </c>
      <c r="L257" s="347">
        <v>14</v>
      </c>
      <c r="N257" s="351">
        <v>221</v>
      </c>
      <c r="O257" s="350">
        <v>216</v>
      </c>
      <c r="P257" s="348">
        <v>166</v>
      </c>
      <c r="R257" s="346">
        <v>15</v>
      </c>
      <c r="S257" s="349">
        <v>19</v>
      </c>
      <c r="T257" s="347">
        <v>2</v>
      </c>
      <c r="W257" s="61">
        <f t="shared" si="31"/>
        <v>1.3986013986013986E-2</v>
      </c>
      <c r="X257" s="62">
        <f t="shared" si="31"/>
        <v>2.8409090909090908E-2</v>
      </c>
      <c r="Y257" s="63">
        <f t="shared" si="23"/>
        <v>8.6419753086419748E-2</v>
      </c>
      <c r="Z257" s="64">
        <f t="shared" si="28"/>
        <v>4.293828599384155E-2</v>
      </c>
      <c r="AA257" s="62">
        <f t="shared" si="32"/>
        <v>6.3559322033898302E-2</v>
      </c>
      <c r="AB257" s="65">
        <f t="shared" si="32"/>
        <v>8.085106382978724E-2</v>
      </c>
      <c r="AC257" s="62">
        <f t="shared" si="32"/>
        <v>1.1904761904761904E-2</v>
      </c>
      <c r="AD257" s="66">
        <f t="shared" si="21"/>
        <v>5.2105049256149151E-2</v>
      </c>
    </row>
    <row r="258" spans="1:35" s="360" customFormat="1">
      <c r="A258" s="75"/>
      <c r="B258" s="76"/>
      <c r="C258" s="77"/>
      <c r="D258" s="77"/>
      <c r="E258" s="77" t="s">
        <v>30</v>
      </c>
      <c r="F258" s="360">
        <v>169</v>
      </c>
      <c r="G258" s="354">
        <v>144</v>
      </c>
      <c r="H258" s="355">
        <v>85</v>
      </c>
      <c r="I258" s="356"/>
      <c r="J258" s="357">
        <v>1</v>
      </c>
      <c r="K258" s="356">
        <v>12</v>
      </c>
      <c r="L258" s="354">
        <v>7</v>
      </c>
      <c r="M258" s="356"/>
      <c r="N258" s="358">
        <v>218</v>
      </c>
      <c r="O258" s="357">
        <v>159</v>
      </c>
      <c r="P258" s="355">
        <v>150</v>
      </c>
      <c r="Q258" s="356"/>
      <c r="R258" s="353">
        <v>25</v>
      </c>
      <c r="S258" s="356">
        <v>0</v>
      </c>
      <c r="T258" s="354">
        <v>0</v>
      </c>
      <c r="U258" s="359"/>
      <c r="W258" s="85">
        <f t="shared" si="31"/>
        <v>5.8823529411764705E-3</v>
      </c>
      <c r="X258" s="86">
        <f t="shared" si="31"/>
        <v>7.6923076923076927E-2</v>
      </c>
      <c r="Y258" s="87">
        <f t="shared" si="23"/>
        <v>7.6086956521739135E-2</v>
      </c>
      <c r="Z258" s="283">
        <f t="shared" si="28"/>
        <v>5.2964128795330849E-2</v>
      </c>
      <c r="AA258" s="86">
        <f t="shared" si="32"/>
        <v>0.102880658436214</v>
      </c>
      <c r="AB258" s="89">
        <f t="shared" si="32"/>
        <v>0</v>
      </c>
      <c r="AC258" s="86">
        <f t="shared" si="32"/>
        <v>0</v>
      </c>
      <c r="AD258" s="284">
        <f t="shared" si="21"/>
        <v>3.4293552812071332E-2</v>
      </c>
      <c r="AE258" s="361"/>
      <c r="AF258" s="362"/>
      <c r="AG258" s="361"/>
      <c r="AH258" s="362"/>
      <c r="AI258" s="361"/>
    </row>
    <row r="259" spans="1:35">
      <c r="B259" s="2">
        <v>2</v>
      </c>
      <c r="C259" s="17" t="s">
        <v>23</v>
      </c>
      <c r="D259" s="126" t="s">
        <v>24</v>
      </c>
      <c r="E259" s="17" t="s">
        <v>25</v>
      </c>
      <c r="F259" s="369" t="s">
        <v>42</v>
      </c>
      <c r="G259" s="347">
        <f>(43+147)/2</f>
        <v>95</v>
      </c>
      <c r="H259" s="369" t="s">
        <v>42</v>
      </c>
      <c r="J259" s="370">
        <v>0</v>
      </c>
      <c r="K259" s="349">
        <v>0</v>
      </c>
      <c r="L259" s="370">
        <v>0</v>
      </c>
      <c r="N259" s="369" t="s">
        <v>42</v>
      </c>
      <c r="O259" s="350">
        <f>(48+191)/2</f>
        <v>119.5</v>
      </c>
      <c r="P259" s="369" t="s">
        <v>42</v>
      </c>
      <c r="R259" s="369">
        <v>0</v>
      </c>
      <c r="S259" s="349">
        <v>0</v>
      </c>
      <c r="T259" s="369">
        <v>0</v>
      </c>
      <c r="U259" s="372" t="s">
        <v>34</v>
      </c>
      <c r="V259" s="4" t="s">
        <v>35</v>
      </c>
      <c r="W259" s="134" t="s">
        <v>43</v>
      </c>
      <c r="X259" s="62">
        <f>K259/(G259+K259)</f>
        <v>0</v>
      </c>
      <c r="Y259" s="134" t="s">
        <v>43</v>
      </c>
      <c r="Z259" s="64">
        <f t="shared" si="28"/>
        <v>0</v>
      </c>
      <c r="AA259" s="134" t="s">
        <v>43</v>
      </c>
      <c r="AB259" s="65">
        <f>S259/(O259+S259)</f>
        <v>0</v>
      </c>
      <c r="AC259" s="134" t="s">
        <v>43</v>
      </c>
      <c r="AD259" s="66">
        <f t="shared" si="21"/>
        <v>0</v>
      </c>
      <c r="AE259" s="16">
        <v>1</v>
      </c>
      <c r="AF259" s="15">
        <v>0</v>
      </c>
      <c r="AG259" s="16">
        <v>0</v>
      </c>
      <c r="AH259" s="15">
        <v>0</v>
      </c>
      <c r="AI259" s="16">
        <v>0</v>
      </c>
    </row>
    <row r="260" spans="1:35">
      <c r="E260" s="17" t="s">
        <v>28</v>
      </c>
      <c r="F260" s="370" t="s">
        <v>42</v>
      </c>
      <c r="G260" s="347">
        <f>(42+149)/2</f>
        <v>95.5</v>
      </c>
      <c r="H260" s="370" t="s">
        <v>42</v>
      </c>
      <c r="J260" s="370">
        <v>0</v>
      </c>
      <c r="K260" s="349">
        <v>0</v>
      </c>
      <c r="L260" s="370">
        <v>0</v>
      </c>
      <c r="N260" s="370" t="s">
        <v>42</v>
      </c>
      <c r="O260" s="350">
        <f>(51+139)/2</f>
        <v>95</v>
      </c>
      <c r="P260" s="370" t="s">
        <v>42</v>
      </c>
      <c r="R260" s="370">
        <v>0</v>
      </c>
      <c r="S260" s="349">
        <v>1</v>
      </c>
      <c r="T260" s="370">
        <v>0</v>
      </c>
      <c r="U260" s="373"/>
      <c r="W260" s="134" t="s">
        <v>43</v>
      </c>
      <c r="X260" s="62">
        <f t="shared" ref="X260:Y323" si="33">K260/(G260+K260)</f>
        <v>0</v>
      </c>
      <c r="Y260" s="134" t="s">
        <v>43</v>
      </c>
      <c r="Z260" s="64">
        <f t="shared" si="28"/>
        <v>0</v>
      </c>
      <c r="AA260" s="134" t="s">
        <v>43</v>
      </c>
      <c r="AB260" s="65">
        <f>S260/(O260+S260)</f>
        <v>1.0416666666666666E-2</v>
      </c>
      <c r="AC260" s="134" t="s">
        <v>43</v>
      </c>
      <c r="AD260" s="66">
        <f t="shared" si="21"/>
        <v>1.0416666666666666E-2</v>
      </c>
    </row>
    <row r="261" spans="1:35">
      <c r="E261" s="17" t="s">
        <v>29</v>
      </c>
      <c r="F261" s="370" t="s">
        <v>42</v>
      </c>
      <c r="G261" s="347">
        <f>(64+171)/2</f>
        <v>117.5</v>
      </c>
      <c r="H261" s="370" t="s">
        <v>42</v>
      </c>
      <c r="J261" s="370">
        <v>0</v>
      </c>
      <c r="K261" s="349">
        <v>0</v>
      </c>
      <c r="L261" s="370">
        <v>0</v>
      </c>
      <c r="N261" s="370" t="s">
        <v>42</v>
      </c>
      <c r="O261" s="350">
        <f>(91+216)/2</f>
        <v>153.5</v>
      </c>
      <c r="P261" s="370" t="s">
        <v>42</v>
      </c>
      <c r="R261" s="370">
        <v>0</v>
      </c>
      <c r="S261" s="349">
        <v>0</v>
      </c>
      <c r="T261" s="370">
        <v>0</v>
      </c>
      <c r="U261" s="373"/>
      <c r="W261" s="134" t="s">
        <v>43</v>
      </c>
      <c r="X261" s="62">
        <f t="shared" si="33"/>
        <v>0</v>
      </c>
      <c r="Y261" s="134" t="s">
        <v>43</v>
      </c>
      <c r="Z261" s="64">
        <f t="shared" si="28"/>
        <v>0</v>
      </c>
      <c r="AA261" s="134" t="s">
        <v>43</v>
      </c>
      <c r="AB261" s="65">
        <f>S261/(O261+S261)</f>
        <v>0</v>
      </c>
      <c r="AC261" s="134" t="s">
        <v>43</v>
      </c>
      <c r="AD261" s="66">
        <f t="shared" si="21"/>
        <v>0</v>
      </c>
    </row>
    <row r="262" spans="1:35" s="360" customFormat="1">
      <c r="A262" s="75"/>
      <c r="B262" s="76"/>
      <c r="C262" s="77"/>
      <c r="D262" s="77"/>
      <c r="E262" s="77" t="s">
        <v>30</v>
      </c>
      <c r="F262" s="371" t="s">
        <v>42</v>
      </c>
      <c r="G262" s="354">
        <f>(67+144)/2</f>
        <v>105.5</v>
      </c>
      <c r="H262" s="371" t="s">
        <v>42</v>
      </c>
      <c r="I262" s="356"/>
      <c r="J262" s="371">
        <v>0</v>
      </c>
      <c r="K262" s="356">
        <v>1</v>
      </c>
      <c r="L262" s="371">
        <v>0</v>
      </c>
      <c r="M262" s="356"/>
      <c r="N262" s="371" t="s">
        <v>42</v>
      </c>
      <c r="O262" s="357">
        <f>(63+159)/2</f>
        <v>111</v>
      </c>
      <c r="P262" s="371" t="s">
        <v>42</v>
      </c>
      <c r="Q262" s="356"/>
      <c r="R262" s="371">
        <v>0</v>
      </c>
      <c r="S262" s="356">
        <v>0</v>
      </c>
      <c r="T262" s="371">
        <v>0</v>
      </c>
      <c r="U262" s="374"/>
      <c r="W262" s="147" t="s">
        <v>43</v>
      </c>
      <c r="X262" s="86">
        <f t="shared" si="33"/>
        <v>9.3896713615023476E-3</v>
      </c>
      <c r="Y262" s="147" t="s">
        <v>43</v>
      </c>
      <c r="Z262" s="283">
        <f t="shared" si="28"/>
        <v>9.3896713615023476E-3</v>
      </c>
      <c r="AA262" s="147" t="s">
        <v>43</v>
      </c>
      <c r="AB262" s="89">
        <f>S262/(O262+S262)</f>
        <v>0</v>
      </c>
      <c r="AC262" s="147" t="s">
        <v>43</v>
      </c>
      <c r="AD262" s="284">
        <f t="shared" si="21"/>
        <v>0</v>
      </c>
      <c r="AE262" s="361"/>
      <c r="AF262" s="362"/>
      <c r="AG262" s="361"/>
      <c r="AH262" s="362"/>
      <c r="AI262" s="361"/>
    </row>
    <row r="263" spans="1:35">
      <c r="B263" s="2">
        <v>9</v>
      </c>
      <c r="C263" s="17" t="s">
        <v>23</v>
      </c>
      <c r="D263" s="126" t="s">
        <v>24</v>
      </c>
      <c r="E263" s="17" t="s">
        <v>25</v>
      </c>
      <c r="F263" s="369" t="s">
        <v>42</v>
      </c>
      <c r="G263" s="378" t="s">
        <v>42</v>
      </c>
      <c r="H263" s="378" t="s">
        <v>42</v>
      </c>
      <c r="J263" s="370">
        <v>0</v>
      </c>
      <c r="K263" s="379">
        <v>0</v>
      </c>
      <c r="L263" s="379">
        <v>0</v>
      </c>
      <c r="N263" s="351">
        <f>(92+65)/2</f>
        <v>78.5</v>
      </c>
      <c r="O263" s="350">
        <f>(68+38)/2</f>
        <v>53</v>
      </c>
      <c r="P263" s="348">
        <f>(99+72)/2</f>
        <v>85.5</v>
      </c>
      <c r="R263" s="346">
        <v>0</v>
      </c>
      <c r="S263" s="349">
        <v>0</v>
      </c>
      <c r="T263" s="347">
        <v>0</v>
      </c>
      <c r="U263" s="352" t="s">
        <v>34</v>
      </c>
      <c r="V263" s="4" t="s">
        <v>35</v>
      </c>
      <c r="W263" s="134" t="s">
        <v>43</v>
      </c>
      <c r="X263" s="134" t="s">
        <v>43</v>
      </c>
      <c r="Y263" s="134" t="s">
        <v>43</v>
      </c>
      <c r="Z263" s="64"/>
      <c r="AA263" s="62">
        <f t="shared" ref="AA263:AC323" si="34">R263/(N263+R263)</f>
        <v>0</v>
      </c>
      <c r="AB263" s="65">
        <f>S263/(O263+S263)</f>
        <v>0</v>
      </c>
      <c r="AC263" s="62">
        <f>T263/(P263+T263)</f>
        <v>0</v>
      </c>
      <c r="AD263" s="66">
        <f t="shared" ref="AD263:AD283" si="35">AVERAGE(AA263:AC263)</f>
        <v>0</v>
      </c>
      <c r="AE263" s="16">
        <v>0</v>
      </c>
      <c r="AF263" s="15">
        <v>0</v>
      </c>
      <c r="AG263" s="16">
        <v>1</v>
      </c>
      <c r="AH263" s="15">
        <v>0</v>
      </c>
      <c r="AI263" s="16">
        <v>0</v>
      </c>
    </row>
    <row r="264" spans="1:35">
      <c r="E264" s="17" t="s">
        <v>28</v>
      </c>
      <c r="F264" s="370" t="s">
        <v>42</v>
      </c>
      <c r="G264" s="379" t="s">
        <v>42</v>
      </c>
      <c r="H264" s="379" t="s">
        <v>42</v>
      </c>
      <c r="J264" s="370">
        <v>0</v>
      </c>
      <c r="K264" s="379">
        <v>0</v>
      </c>
      <c r="L264" s="379">
        <v>0</v>
      </c>
      <c r="N264" s="351">
        <f>(87+36)/2</f>
        <v>61.5</v>
      </c>
      <c r="O264" s="350">
        <f>(76+37)/2</f>
        <v>56.5</v>
      </c>
      <c r="P264" s="348">
        <f>(80+33)/2</f>
        <v>56.5</v>
      </c>
      <c r="R264" s="346">
        <v>1</v>
      </c>
      <c r="S264" s="349">
        <v>0</v>
      </c>
      <c r="T264" s="347">
        <v>1</v>
      </c>
      <c r="W264" s="134" t="s">
        <v>43</v>
      </c>
      <c r="X264" s="134" t="s">
        <v>43</v>
      </c>
      <c r="Y264" s="134" t="s">
        <v>43</v>
      </c>
      <c r="Z264" s="64"/>
      <c r="AA264" s="62">
        <f t="shared" si="34"/>
        <v>1.6E-2</v>
      </c>
      <c r="AB264" s="65">
        <f t="shared" si="34"/>
        <v>0</v>
      </c>
      <c r="AC264" s="62">
        <f t="shared" si="34"/>
        <v>1.7391304347826087E-2</v>
      </c>
      <c r="AD264" s="66">
        <f t="shared" si="35"/>
        <v>1.1130434782608695E-2</v>
      </c>
    </row>
    <row r="265" spans="1:35">
      <c r="E265" s="17" t="s">
        <v>29</v>
      </c>
      <c r="F265" s="370" t="s">
        <v>42</v>
      </c>
      <c r="G265" s="379" t="s">
        <v>42</v>
      </c>
      <c r="H265" s="379" t="s">
        <v>42</v>
      </c>
      <c r="J265" s="370">
        <v>0</v>
      </c>
      <c r="K265" s="379">
        <v>0</v>
      </c>
      <c r="L265" s="379">
        <v>0</v>
      </c>
      <c r="N265" s="351">
        <f>(132+78)/2</f>
        <v>105</v>
      </c>
      <c r="O265" s="350">
        <f>(98+61)/2</f>
        <v>79.5</v>
      </c>
      <c r="P265" s="348">
        <f>(74+54)/2</f>
        <v>64</v>
      </c>
      <c r="R265" s="346">
        <v>0</v>
      </c>
      <c r="S265" s="349">
        <v>0</v>
      </c>
      <c r="T265" s="347">
        <v>0</v>
      </c>
      <c r="W265" s="134" t="s">
        <v>43</v>
      </c>
      <c r="X265" s="134" t="s">
        <v>43</v>
      </c>
      <c r="Y265" s="134" t="s">
        <v>43</v>
      </c>
      <c r="Z265" s="64"/>
      <c r="AA265" s="62">
        <f t="shared" si="34"/>
        <v>0</v>
      </c>
      <c r="AB265" s="65">
        <f t="shared" si="34"/>
        <v>0</v>
      </c>
      <c r="AC265" s="62">
        <f t="shared" si="34"/>
        <v>0</v>
      </c>
      <c r="AD265" s="66">
        <f t="shared" si="35"/>
        <v>0</v>
      </c>
    </row>
    <row r="266" spans="1:35" s="360" customFormat="1">
      <c r="A266" s="75"/>
      <c r="B266" s="76"/>
      <c r="C266" s="77"/>
      <c r="D266" s="77"/>
      <c r="E266" s="77" t="s">
        <v>30</v>
      </c>
      <c r="F266" s="371" t="s">
        <v>42</v>
      </c>
      <c r="G266" s="380" t="s">
        <v>42</v>
      </c>
      <c r="H266" s="380" t="s">
        <v>42</v>
      </c>
      <c r="I266" s="356"/>
      <c r="J266" s="371">
        <v>0</v>
      </c>
      <c r="K266" s="380">
        <v>0</v>
      </c>
      <c r="L266" s="380">
        <v>0</v>
      </c>
      <c r="M266" s="356"/>
      <c r="N266" s="358">
        <f>(128+78)/2</f>
        <v>103</v>
      </c>
      <c r="O266" s="357">
        <f>(80+43)/2</f>
        <v>61.5</v>
      </c>
      <c r="P266" s="355">
        <f>(77+47)/2</f>
        <v>62</v>
      </c>
      <c r="Q266" s="356"/>
      <c r="R266" s="353">
        <v>0</v>
      </c>
      <c r="S266" s="356">
        <v>1</v>
      </c>
      <c r="T266" s="354">
        <v>0</v>
      </c>
      <c r="U266" s="359"/>
      <c r="W266" s="147" t="s">
        <v>43</v>
      </c>
      <c r="X266" s="147" t="s">
        <v>43</v>
      </c>
      <c r="Y266" s="147" t="s">
        <v>43</v>
      </c>
      <c r="Z266" s="283"/>
      <c r="AA266" s="86">
        <f t="shared" si="34"/>
        <v>0</v>
      </c>
      <c r="AB266" s="89">
        <f t="shared" si="34"/>
        <v>1.6E-2</v>
      </c>
      <c r="AC266" s="86">
        <f t="shared" si="34"/>
        <v>0</v>
      </c>
      <c r="AD266" s="284">
        <f t="shared" si="35"/>
        <v>5.3333333333333332E-3</v>
      </c>
      <c r="AE266" s="361"/>
      <c r="AF266" s="362"/>
      <c r="AG266" s="361"/>
      <c r="AH266" s="362"/>
      <c r="AI266" s="361"/>
    </row>
    <row r="267" spans="1:35">
      <c r="B267" s="2">
        <v>13</v>
      </c>
      <c r="C267" s="17" t="s">
        <v>23</v>
      </c>
      <c r="D267" s="126" t="s">
        <v>24</v>
      </c>
      <c r="E267" s="17" t="s">
        <v>25</v>
      </c>
      <c r="F267" s="369" t="s">
        <v>42</v>
      </c>
      <c r="G267" s="378" t="s">
        <v>42</v>
      </c>
      <c r="H267" s="378" t="s">
        <v>42</v>
      </c>
      <c r="J267" s="370">
        <v>0</v>
      </c>
      <c r="K267" s="379">
        <v>0</v>
      </c>
      <c r="L267" s="379">
        <v>0</v>
      </c>
      <c r="N267" s="369" t="s">
        <v>42</v>
      </c>
      <c r="O267" s="350">
        <f>(15+182)/2</f>
        <v>98.5</v>
      </c>
      <c r="P267" s="369" t="s">
        <v>42</v>
      </c>
      <c r="R267" s="369">
        <v>0</v>
      </c>
      <c r="S267" s="349">
        <v>0</v>
      </c>
      <c r="T267" s="369">
        <v>0</v>
      </c>
      <c r="U267" s="372" t="s">
        <v>34</v>
      </c>
      <c r="V267" s="4" t="s">
        <v>35</v>
      </c>
      <c r="W267" s="134" t="s">
        <v>43</v>
      </c>
      <c r="X267" s="134" t="s">
        <v>43</v>
      </c>
      <c r="Y267" s="134" t="s">
        <v>43</v>
      </c>
      <c r="Z267" s="64"/>
      <c r="AA267" s="134" t="s">
        <v>43</v>
      </c>
      <c r="AB267" s="65">
        <f t="shared" si="34"/>
        <v>0</v>
      </c>
      <c r="AC267" s="134" t="s">
        <v>43</v>
      </c>
      <c r="AD267" s="66">
        <f t="shared" si="35"/>
        <v>0</v>
      </c>
      <c r="AE267" s="16">
        <v>0</v>
      </c>
      <c r="AF267" s="15">
        <v>0</v>
      </c>
      <c r="AG267" s="16">
        <v>1</v>
      </c>
      <c r="AH267" s="15">
        <v>0</v>
      </c>
      <c r="AI267" s="16">
        <v>0</v>
      </c>
    </row>
    <row r="268" spans="1:35">
      <c r="E268" s="17" t="s">
        <v>28</v>
      </c>
      <c r="F268" s="370" t="s">
        <v>42</v>
      </c>
      <c r="G268" s="379" t="s">
        <v>42</v>
      </c>
      <c r="H268" s="379" t="s">
        <v>42</v>
      </c>
      <c r="J268" s="370">
        <v>0</v>
      </c>
      <c r="K268" s="379">
        <v>0</v>
      </c>
      <c r="L268" s="379">
        <v>0</v>
      </c>
      <c r="N268" s="370" t="s">
        <v>42</v>
      </c>
      <c r="O268" s="350">
        <f>(18+115)/2</f>
        <v>66.5</v>
      </c>
      <c r="P268" s="370" t="s">
        <v>42</v>
      </c>
      <c r="R268" s="370">
        <v>0</v>
      </c>
      <c r="S268" s="349">
        <v>0</v>
      </c>
      <c r="T268" s="370">
        <v>0</v>
      </c>
      <c r="U268" s="373"/>
      <c r="W268" s="134" t="s">
        <v>43</v>
      </c>
      <c r="X268" s="134" t="s">
        <v>43</v>
      </c>
      <c r="Y268" s="134" t="s">
        <v>43</v>
      </c>
      <c r="Z268" s="64"/>
      <c r="AA268" s="134" t="s">
        <v>43</v>
      </c>
      <c r="AB268" s="65">
        <f t="shared" si="34"/>
        <v>0</v>
      </c>
      <c r="AC268" s="134" t="s">
        <v>43</v>
      </c>
      <c r="AD268" s="66">
        <f t="shared" si="35"/>
        <v>0</v>
      </c>
    </row>
    <row r="269" spans="1:35">
      <c r="E269" s="17" t="s">
        <v>29</v>
      </c>
      <c r="F269" s="370" t="s">
        <v>42</v>
      </c>
      <c r="G269" s="379" t="s">
        <v>42</v>
      </c>
      <c r="H269" s="379" t="s">
        <v>42</v>
      </c>
      <c r="J269" s="370">
        <v>0</v>
      </c>
      <c r="K269" s="379">
        <v>0</v>
      </c>
      <c r="L269" s="379">
        <v>0</v>
      </c>
      <c r="N269" s="370" t="s">
        <v>42</v>
      </c>
      <c r="O269" s="350">
        <f>(25+291)/2</f>
        <v>158</v>
      </c>
      <c r="P269" s="370" t="s">
        <v>42</v>
      </c>
      <c r="R269" s="370">
        <v>0</v>
      </c>
      <c r="S269" s="349">
        <v>2</v>
      </c>
      <c r="T269" s="370">
        <v>0</v>
      </c>
      <c r="U269" s="373"/>
      <c r="W269" s="134" t="s">
        <v>43</v>
      </c>
      <c r="X269" s="134" t="s">
        <v>43</v>
      </c>
      <c r="Y269" s="134" t="s">
        <v>43</v>
      </c>
      <c r="Z269" s="64"/>
      <c r="AA269" s="134" t="s">
        <v>43</v>
      </c>
      <c r="AB269" s="65">
        <f t="shared" si="34"/>
        <v>1.2500000000000001E-2</v>
      </c>
      <c r="AC269" s="134" t="s">
        <v>43</v>
      </c>
      <c r="AD269" s="66">
        <f t="shared" si="35"/>
        <v>1.2500000000000001E-2</v>
      </c>
    </row>
    <row r="270" spans="1:35" s="386" customFormat="1" ht="16.5" thickBot="1">
      <c r="A270" s="109"/>
      <c r="B270" s="110"/>
      <c r="C270" s="111"/>
      <c r="D270" s="111"/>
      <c r="E270" s="111" t="s">
        <v>30</v>
      </c>
      <c r="F270" s="381" t="s">
        <v>42</v>
      </c>
      <c r="G270" s="382" t="s">
        <v>42</v>
      </c>
      <c r="H270" s="382" t="s">
        <v>42</v>
      </c>
      <c r="I270" s="383"/>
      <c r="J270" s="381">
        <v>0</v>
      </c>
      <c r="K270" s="382">
        <v>0</v>
      </c>
      <c r="L270" s="382">
        <v>0</v>
      </c>
      <c r="M270" s="383"/>
      <c r="N270" s="381" t="s">
        <v>42</v>
      </c>
      <c r="O270" s="384">
        <f>(27+143)/2</f>
        <v>85</v>
      </c>
      <c r="P270" s="381" t="s">
        <v>42</v>
      </c>
      <c r="Q270" s="383"/>
      <c r="R270" s="381">
        <v>0</v>
      </c>
      <c r="S270" s="383">
        <v>0</v>
      </c>
      <c r="T270" s="381">
        <v>0</v>
      </c>
      <c r="U270" s="385"/>
      <c r="W270" s="387" t="s">
        <v>43</v>
      </c>
      <c r="X270" s="387" t="s">
        <v>43</v>
      </c>
      <c r="Y270" s="147" t="s">
        <v>43</v>
      </c>
      <c r="Z270" s="285"/>
      <c r="AA270" s="147" t="s">
        <v>43</v>
      </c>
      <c r="AB270" s="89">
        <f t="shared" si="34"/>
        <v>0</v>
      </c>
      <c r="AC270" s="147" t="s">
        <v>43</v>
      </c>
      <c r="AD270" s="284">
        <f t="shared" si="35"/>
        <v>0</v>
      </c>
      <c r="AE270" s="388"/>
      <c r="AF270" s="389"/>
      <c r="AG270" s="388"/>
      <c r="AH270" s="389"/>
      <c r="AI270" s="388"/>
    </row>
    <row r="271" spans="1:35" s="199" customFormat="1" ht="48" thickTop="1">
      <c r="A271" s="182" t="s">
        <v>95</v>
      </c>
      <c r="B271" s="2">
        <v>1</v>
      </c>
      <c r="C271" s="17" t="s">
        <v>36</v>
      </c>
      <c r="D271" s="17" t="s">
        <v>37</v>
      </c>
      <c r="E271" s="17" t="s">
        <v>64</v>
      </c>
      <c r="F271" s="390"/>
      <c r="G271" s="391"/>
      <c r="H271" s="391"/>
      <c r="I271" s="289"/>
      <c r="J271" s="390"/>
      <c r="K271" s="390"/>
      <c r="L271" s="391"/>
      <c r="M271" s="289"/>
      <c r="N271" s="392"/>
      <c r="O271" s="332"/>
      <c r="P271" s="391"/>
      <c r="Q271" s="289"/>
      <c r="R271" s="390"/>
      <c r="S271" s="332"/>
      <c r="T271" s="390"/>
      <c r="U271" s="393" t="s">
        <v>34</v>
      </c>
      <c r="W271" s="196"/>
      <c r="X271" s="191"/>
      <c r="Y271" s="197"/>
      <c r="Z271" s="200"/>
      <c r="AA271" s="191"/>
      <c r="AC271" s="191"/>
      <c r="AD271" s="200"/>
      <c r="AE271" s="334">
        <v>0</v>
      </c>
      <c r="AF271" s="335">
        <v>0</v>
      </c>
      <c r="AG271" s="334">
        <v>1</v>
      </c>
      <c r="AH271" s="335">
        <v>0</v>
      </c>
      <c r="AI271" s="334">
        <v>1</v>
      </c>
    </row>
    <row r="272" spans="1:35" s="199" customFormat="1">
      <c r="A272" s="1"/>
      <c r="B272" s="2">
        <v>2</v>
      </c>
      <c r="C272" s="17" t="s">
        <v>23</v>
      </c>
      <c r="D272" s="126" t="s">
        <v>24</v>
      </c>
      <c r="E272" s="17" t="s">
        <v>54</v>
      </c>
      <c r="F272" s="390"/>
      <c r="G272" s="391"/>
      <c r="H272" s="391"/>
      <c r="I272" s="289"/>
      <c r="J272" s="390"/>
      <c r="K272" s="390"/>
      <c r="L272" s="391"/>
      <c r="M272" s="289"/>
      <c r="N272" s="392"/>
      <c r="O272" s="332"/>
      <c r="P272" s="391"/>
      <c r="Q272" s="289"/>
      <c r="R272" s="390"/>
      <c r="S272" s="332"/>
      <c r="T272" s="390"/>
      <c r="U272" s="393" t="s">
        <v>34</v>
      </c>
      <c r="W272" s="196"/>
      <c r="X272" s="191"/>
      <c r="Y272" s="197"/>
      <c r="Z272" s="200"/>
      <c r="AA272" s="191"/>
      <c r="AC272" s="191"/>
      <c r="AD272" s="200"/>
      <c r="AE272" s="334">
        <v>0</v>
      </c>
      <c r="AF272" s="335">
        <v>0</v>
      </c>
      <c r="AG272" s="334">
        <v>1</v>
      </c>
      <c r="AH272" s="335">
        <v>0</v>
      </c>
      <c r="AI272" s="334">
        <v>1</v>
      </c>
    </row>
    <row r="273" spans="1:35" s="199" customFormat="1">
      <c r="A273" s="1"/>
      <c r="B273" s="2">
        <v>5</v>
      </c>
      <c r="C273" s="17" t="s">
        <v>23</v>
      </c>
      <c r="D273" s="126" t="s">
        <v>24</v>
      </c>
      <c r="E273" s="17" t="s">
        <v>64</v>
      </c>
      <c r="F273" s="390"/>
      <c r="G273" s="391"/>
      <c r="H273" s="391"/>
      <c r="I273" s="289"/>
      <c r="J273" s="390"/>
      <c r="K273" s="390"/>
      <c r="L273" s="391"/>
      <c r="M273" s="289"/>
      <c r="N273" s="392"/>
      <c r="O273" s="332"/>
      <c r="P273" s="391"/>
      <c r="Q273" s="289"/>
      <c r="R273" s="390"/>
      <c r="S273" s="332"/>
      <c r="T273" s="390"/>
      <c r="U273" s="393" t="s">
        <v>34</v>
      </c>
      <c r="W273" s="196"/>
      <c r="X273" s="191"/>
      <c r="Y273" s="197"/>
      <c r="Z273" s="200"/>
      <c r="AA273" s="191"/>
      <c r="AC273" s="191"/>
      <c r="AD273" s="200"/>
      <c r="AE273" s="334">
        <v>0</v>
      </c>
      <c r="AF273" s="335">
        <v>0</v>
      </c>
      <c r="AG273" s="334">
        <v>1</v>
      </c>
      <c r="AH273" s="335">
        <v>0</v>
      </c>
      <c r="AI273" s="334">
        <v>1</v>
      </c>
    </row>
    <row r="274" spans="1:35" s="199" customFormat="1">
      <c r="A274" s="1"/>
      <c r="B274" s="2">
        <v>5</v>
      </c>
      <c r="C274" s="3" t="s">
        <v>31</v>
      </c>
      <c r="D274" s="17" t="s">
        <v>32</v>
      </c>
      <c r="E274" s="17" t="s">
        <v>50</v>
      </c>
      <c r="F274" s="391"/>
      <c r="G274" s="391"/>
      <c r="H274" s="391"/>
      <c r="I274" s="289"/>
      <c r="J274" s="390"/>
      <c r="K274" s="390"/>
      <c r="L274" s="391"/>
      <c r="M274" s="289"/>
      <c r="N274" s="392"/>
      <c r="O274" s="332"/>
      <c r="P274" s="391"/>
      <c r="Q274" s="289"/>
      <c r="R274" s="390"/>
      <c r="S274" s="332"/>
      <c r="T274" s="390"/>
      <c r="U274" s="393" t="s">
        <v>34</v>
      </c>
      <c r="W274" s="196"/>
      <c r="X274" s="191"/>
      <c r="Y274" s="197"/>
      <c r="Z274" s="200"/>
      <c r="AA274" s="191"/>
      <c r="AC274" s="191"/>
      <c r="AD274" s="200"/>
      <c r="AE274" s="334">
        <v>0</v>
      </c>
      <c r="AF274" s="335">
        <v>0</v>
      </c>
      <c r="AG274" s="334">
        <v>1</v>
      </c>
      <c r="AH274" s="335">
        <v>0</v>
      </c>
      <c r="AI274" s="334">
        <v>1</v>
      </c>
    </row>
    <row r="275" spans="1:35" s="229" customFormat="1" ht="16.5" thickBot="1">
      <c r="A275" s="109"/>
      <c r="B275" s="110">
        <v>13</v>
      </c>
      <c r="C275" s="340" t="s">
        <v>23</v>
      </c>
      <c r="D275" s="213" t="s">
        <v>24</v>
      </c>
      <c r="E275" s="111" t="s">
        <v>50</v>
      </c>
      <c r="F275" s="394"/>
      <c r="G275" s="394"/>
      <c r="H275" s="394"/>
      <c r="I275" s="292"/>
      <c r="J275" s="395"/>
      <c r="K275" s="395"/>
      <c r="L275" s="394"/>
      <c r="M275" s="292"/>
      <c r="N275" s="396"/>
      <c r="O275" s="342"/>
      <c r="P275" s="394"/>
      <c r="Q275" s="292"/>
      <c r="R275" s="395"/>
      <c r="S275" s="342"/>
      <c r="T275" s="395"/>
      <c r="U275" s="397" t="s">
        <v>34</v>
      </c>
      <c r="W275" s="226"/>
      <c r="X275" s="221"/>
      <c r="Y275" s="227"/>
      <c r="Z275" s="294"/>
      <c r="AA275" s="221"/>
      <c r="AC275" s="221"/>
      <c r="AD275" s="295"/>
      <c r="AE275" s="344">
        <v>0</v>
      </c>
      <c r="AF275" s="345">
        <v>0</v>
      </c>
      <c r="AG275" s="344">
        <v>1</v>
      </c>
      <c r="AH275" s="345">
        <v>0</v>
      </c>
      <c r="AI275" s="344">
        <v>1</v>
      </c>
    </row>
    <row r="276" spans="1:35" ht="16.5" thickTop="1">
      <c r="A276" s="1" t="s">
        <v>96</v>
      </c>
      <c r="B276" s="2" t="s">
        <v>97</v>
      </c>
      <c r="C276" s="3" t="s">
        <v>66</v>
      </c>
      <c r="D276" s="3" t="s">
        <v>66</v>
      </c>
      <c r="E276" s="17" t="s">
        <v>25</v>
      </c>
      <c r="F276" s="11">
        <f>12+43</f>
        <v>55</v>
      </c>
      <c r="G276" s="347">
        <f>15+42</f>
        <v>57</v>
      </c>
      <c r="H276" s="348">
        <f>20+56</f>
        <v>76</v>
      </c>
      <c r="J276" s="350">
        <f>5+35+1</f>
        <v>41</v>
      </c>
      <c r="K276" s="349">
        <f>7+26+0</f>
        <v>33</v>
      </c>
      <c r="L276" s="347">
        <f>2+53+0</f>
        <v>55</v>
      </c>
      <c r="N276" s="351">
        <f>20+59</f>
        <v>79</v>
      </c>
      <c r="O276" s="350">
        <f>12+39</f>
        <v>51</v>
      </c>
      <c r="P276" s="348">
        <f>14+54</f>
        <v>68</v>
      </c>
      <c r="R276" s="346">
        <f>6+55+0</f>
        <v>61</v>
      </c>
      <c r="S276" s="349">
        <f>4+37+1</f>
        <v>42</v>
      </c>
      <c r="T276" s="347">
        <f>4+51+0</f>
        <v>55</v>
      </c>
      <c r="U276" s="352" t="s">
        <v>26</v>
      </c>
      <c r="V276" s="11" t="s">
        <v>98</v>
      </c>
      <c r="W276" s="61">
        <f>J276/(F276+J276)</f>
        <v>0.42708333333333331</v>
      </c>
      <c r="X276" s="62">
        <f t="shared" si="33"/>
        <v>0.36666666666666664</v>
      </c>
      <c r="Y276" s="63">
        <f t="shared" si="33"/>
        <v>0.41984732824427479</v>
      </c>
      <c r="Z276" s="64">
        <f t="shared" si="28"/>
        <v>0.40453244274809158</v>
      </c>
      <c r="AA276" s="62">
        <f t="shared" si="34"/>
        <v>0.43571428571428572</v>
      </c>
      <c r="AB276" s="65">
        <f t="shared" si="34"/>
        <v>0.45161290322580644</v>
      </c>
      <c r="AC276" s="62">
        <f t="shared" si="34"/>
        <v>0.44715447154471544</v>
      </c>
      <c r="AD276" s="64">
        <f t="shared" si="35"/>
        <v>0.44482722016160253</v>
      </c>
      <c r="AE276" s="16">
        <v>1</v>
      </c>
      <c r="AF276" s="15">
        <v>0</v>
      </c>
      <c r="AG276" s="16">
        <v>0</v>
      </c>
      <c r="AH276" s="15">
        <v>1</v>
      </c>
      <c r="AI276" s="16">
        <v>0</v>
      </c>
    </row>
    <row r="277" spans="1:35">
      <c r="E277" s="17" t="s">
        <v>28</v>
      </c>
      <c r="F277" s="11">
        <f>66+23</f>
        <v>89</v>
      </c>
      <c r="G277" s="347">
        <f>13+47</f>
        <v>60</v>
      </c>
      <c r="H277" s="348">
        <f>14+42</f>
        <v>56</v>
      </c>
      <c r="J277" s="350">
        <f>4+48+0</f>
        <v>52</v>
      </c>
      <c r="K277" s="349">
        <f>7+26+0</f>
        <v>33</v>
      </c>
      <c r="L277" s="347">
        <f>7+38+0</f>
        <v>45</v>
      </c>
      <c r="N277" s="351">
        <f>11+30</f>
        <v>41</v>
      </c>
      <c r="O277" s="350">
        <f>13+32</f>
        <v>45</v>
      </c>
      <c r="P277" s="348">
        <f>20+23</f>
        <v>43</v>
      </c>
      <c r="R277" s="346">
        <f>1+26+0</f>
        <v>27</v>
      </c>
      <c r="S277" s="349">
        <f>7+20+1</f>
        <v>28</v>
      </c>
      <c r="T277" s="347">
        <f>2+15+0</f>
        <v>17</v>
      </c>
      <c r="W277" s="61">
        <f>J277/(F277+J277)</f>
        <v>0.36879432624113473</v>
      </c>
      <c r="X277" s="62">
        <f t="shared" si="33"/>
        <v>0.35483870967741937</v>
      </c>
      <c r="Y277" s="63">
        <f t="shared" si="33"/>
        <v>0.44554455445544555</v>
      </c>
      <c r="Z277" s="64">
        <f t="shared" si="28"/>
        <v>0.38972586345799987</v>
      </c>
      <c r="AA277" s="62">
        <f t="shared" si="34"/>
        <v>0.39705882352941174</v>
      </c>
      <c r="AB277" s="65">
        <f t="shared" si="34"/>
        <v>0.38356164383561642</v>
      </c>
      <c r="AC277" s="62">
        <f t="shared" si="34"/>
        <v>0.28333333333333333</v>
      </c>
      <c r="AD277" s="64">
        <f t="shared" si="35"/>
        <v>0.35465126689945387</v>
      </c>
    </row>
    <row r="278" spans="1:35">
      <c r="E278" s="17" t="s">
        <v>29</v>
      </c>
      <c r="F278" s="11">
        <f>15+16</f>
        <v>31</v>
      </c>
      <c r="G278" s="347">
        <f>22+30</f>
        <v>52</v>
      </c>
      <c r="H278" s="348">
        <f>8+29</f>
        <v>37</v>
      </c>
      <c r="J278" s="350">
        <f>5+12+0</f>
        <v>17</v>
      </c>
      <c r="K278" s="349">
        <f>1+12+0</f>
        <v>13</v>
      </c>
      <c r="L278" s="347">
        <f>8+22+1</f>
        <v>31</v>
      </c>
      <c r="N278" s="351">
        <f>9+74</f>
        <v>83</v>
      </c>
      <c r="O278" s="350">
        <f>77+18</f>
        <v>95</v>
      </c>
      <c r="P278" s="348">
        <f>19+61</f>
        <v>80</v>
      </c>
      <c r="R278" s="346">
        <f>10+75+1</f>
        <v>86</v>
      </c>
      <c r="S278" s="349">
        <f>8+64+0</f>
        <v>72</v>
      </c>
      <c r="T278" s="347">
        <f>5+62+1</f>
        <v>68</v>
      </c>
      <c r="W278" s="61">
        <f t="shared" ref="W278:W323" si="36">J278/(F278+J278)</f>
        <v>0.35416666666666669</v>
      </c>
      <c r="X278" s="62">
        <f t="shared" si="33"/>
        <v>0.2</v>
      </c>
      <c r="Y278" s="63">
        <f t="shared" si="33"/>
        <v>0.45588235294117646</v>
      </c>
      <c r="Z278" s="64">
        <f t="shared" si="28"/>
        <v>0.33668300653594768</v>
      </c>
      <c r="AA278" s="62">
        <f t="shared" si="34"/>
        <v>0.50887573964497046</v>
      </c>
      <c r="AB278" s="65">
        <f t="shared" si="34"/>
        <v>0.43113772455089822</v>
      </c>
      <c r="AC278" s="62">
        <f t="shared" si="34"/>
        <v>0.45945945945945948</v>
      </c>
      <c r="AD278" s="64">
        <f t="shared" si="35"/>
        <v>0.46649097455177602</v>
      </c>
    </row>
    <row r="279" spans="1:35" s="360" customFormat="1">
      <c r="A279" s="75"/>
      <c r="B279" s="76"/>
      <c r="C279" s="77"/>
      <c r="D279" s="77"/>
      <c r="E279" s="77" t="s">
        <v>30</v>
      </c>
      <c r="F279" s="360">
        <f>8+23</f>
        <v>31</v>
      </c>
      <c r="G279" s="354">
        <f>10+24</f>
        <v>34</v>
      </c>
      <c r="H279" s="355">
        <f>11+13</f>
        <v>24</v>
      </c>
      <c r="I279" s="356"/>
      <c r="J279" s="357">
        <f>7+27+0</f>
        <v>34</v>
      </c>
      <c r="K279" s="356">
        <f>2+14+0</f>
        <v>16</v>
      </c>
      <c r="L279" s="354">
        <f>11+22+0</f>
        <v>33</v>
      </c>
      <c r="M279" s="356"/>
      <c r="N279" s="358">
        <f>18+47</f>
        <v>65</v>
      </c>
      <c r="O279" s="357">
        <f>19+41</f>
        <v>60</v>
      </c>
      <c r="P279" s="355">
        <f>15+32</f>
        <v>47</v>
      </c>
      <c r="Q279" s="356"/>
      <c r="R279" s="353">
        <f>7+54+1</f>
        <v>62</v>
      </c>
      <c r="S279" s="356">
        <f>5+39+0</f>
        <v>44</v>
      </c>
      <c r="T279" s="354">
        <f>7+38+0</f>
        <v>45</v>
      </c>
      <c r="U279" s="359"/>
      <c r="W279" s="85">
        <f t="shared" si="36"/>
        <v>0.52307692307692311</v>
      </c>
      <c r="X279" s="86">
        <f>K279/(G279+K279)</f>
        <v>0.32</v>
      </c>
      <c r="Y279" s="87">
        <f t="shared" si="33"/>
        <v>0.57894736842105265</v>
      </c>
      <c r="Z279" s="283">
        <f t="shared" si="28"/>
        <v>0.4740080971659919</v>
      </c>
      <c r="AA279" s="86">
        <f t="shared" si="34"/>
        <v>0.48818897637795278</v>
      </c>
      <c r="AB279" s="89">
        <f t="shared" si="34"/>
        <v>0.42307692307692307</v>
      </c>
      <c r="AC279" s="86">
        <f t="shared" si="34"/>
        <v>0.4891304347826087</v>
      </c>
      <c r="AD279" s="425">
        <f t="shared" si="35"/>
        <v>0.46679877807916154</v>
      </c>
      <c r="AE279" s="361"/>
      <c r="AF279" s="362"/>
      <c r="AG279" s="361"/>
      <c r="AH279" s="362"/>
      <c r="AI279" s="361"/>
    </row>
    <row r="280" spans="1:35">
      <c r="B280" s="2" t="s">
        <v>97</v>
      </c>
      <c r="C280" s="3" t="s">
        <v>31</v>
      </c>
      <c r="D280" s="17" t="s">
        <v>32</v>
      </c>
      <c r="E280" s="17" t="s">
        <v>25</v>
      </c>
      <c r="F280" s="11">
        <f>12+43</f>
        <v>55</v>
      </c>
      <c r="G280" s="347">
        <f>15+42</f>
        <v>57</v>
      </c>
      <c r="H280" s="348">
        <f>20+56</f>
        <v>76</v>
      </c>
      <c r="J280" s="350">
        <v>0</v>
      </c>
      <c r="K280" s="349">
        <v>1</v>
      </c>
      <c r="L280" s="347">
        <v>2</v>
      </c>
      <c r="N280" s="351">
        <f>20+59</f>
        <v>79</v>
      </c>
      <c r="O280" s="350">
        <f>12+39</f>
        <v>51</v>
      </c>
      <c r="P280" s="348">
        <f>14+54</f>
        <v>68</v>
      </c>
      <c r="R280" s="346">
        <v>0</v>
      </c>
      <c r="S280" s="349">
        <v>1</v>
      </c>
      <c r="T280" s="347">
        <v>0</v>
      </c>
      <c r="U280" s="352" t="s">
        <v>34</v>
      </c>
      <c r="V280" s="4" t="s">
        <v>35</v>
      </c>
      <c r="W280" s="61">
        <f>J280/(F280+J280)</f>
        <v>0</v>
      </c>
      <c r="X280" s="62">
        <f t="shared" ref="X280:X282" si="37">K280/(G280+K280)</f>
        <v>1.7241379310344827E-2</v>
      </c>
      <c r="Y280" s="63">
        <f t="shared" si="33"/>
        <v>2.564102564102564E-2</v>
      </c>
      <c r="Z280" s="66">
        <f t="shared" si="28"/>
        <v>1.4294134983790155E-2</v>
      </c>
      <c r="AA280" s="62">
        <f t="shared" si="34"/>
        <v>0</v>
      </c>
      <c r="AB280" s="65">
        <f t="shared" si="34"/>
        <v>1.9230769230769232E-2</v>
      </c>
      <c r="AC280" s="62">
        <f t="shared" si="34"/>
        <v>0</v>
      </c>
      <c r="AD280" s="66">
        <f t="shared" si="35"/>
        <v>6.4102564102564109E-3</v>
      </c>
    </row>
    <row r="281" spans="1:35">
      <c r="C281" s="3"/>
      <c r="E281" s="17" t="s">
        <v>28</v>
      </c>
      <c r="F281" s="11">
        <f>66+23</f>
        <v>89</v>
      </c>
      <c r="G281" s="347">
        <f>13+47</f>
        <v>60</v>
      </c>
      <c r="H281" s="348">
        <f>14+42</f>
        <v>56</v>
      </c>
      <c r="J281" s="350">
        <v>0</v>
      </c>
      <c r="K281" s="349">
        <v>2</v>
      </c>
      <c r="L281" s="347">
        <v>0</v>
      </c>
      <c r="N281" s="351">
        <f>11+30</f>
        <v>41</v>
      </c>
      <c r="O281" s="350">
        <f>13+32</f>
        <v>45</v>
      </c>
      <c r="P281" s="348">
        <f>20+23</f>
        <v>43</v>
      </c>
      <c r="R281" s="346">
        <v>0</v>
      </c>
      <c r="S281" s="349">
        <v>0</v>
      </c>
      <c r="T281" s="347">
        <v>0</v>
      </c>
      <c r="W281" s="61">
        <f>J281/(F281+J281)</f>
        <v>0</v>
      </c>
      <c r="X281" s="62">
        <f t="shared" si="37"/>
        <v>3.2258064516129031E-2</v>
      </c>
      <c r="Y281" s="63">
        <f t="shared" si="33"/>
        <v>0</v>
      </c>
      <c r="Z281" s="66">
        <f t="shared" si="28"/>
        <v>1.075268817204301E-2</v>
      </c>
      <c r="AA281" s="62">
        <f t="shared" si="34"/>
        <v>0</v>
      </c>
      <c r="AB281" s="65">
        <f t="shared" si="34"/>
        <v>0</v>
      </c>
      <c r="AC281" s="62">
        <f t="shared" si="34"/>
        <v>0</v>
      </c>
      <c r="AD281" s="66">
        <f t="shared" si="35"/>
        <v>0</v>
      </c>
    </row>
    <row r="282" spans="1:35">
      <c r="C282" s="3"/>
      <c r="E282" s="17" t="s">
        <v>29</v>
      </c>
      <c r="F282" s="11">
        <f>15+16</f>
        <v>31</v>
      </c>
      <c r="G282" s="347">
        <f>22+30</f>
        <v>52</v>
      </c>
      <c r="H282" s="348">
        <f>8+29</f>
        <v>37</v>
      </c>
      <c r="J282" s="350">
        <v>1</v>
      </c>
      <c r="K282" s="349">
        <v>0</v>
      </c>
      <c r="L282" s="347">
        <v>0</v>
      </c>
      <c r="N282" s="351">
        <f>9+74</f>
        <v>83</v>
      </c>
      <c r="O282" s="350">
        <f>77+18</f>
        <v>95</v>
      </c>
      <c r="P282" s="348">
        <f>19+61</f>
        <v>80</v>
      </c>
      <c r="R282" s="346">
        <v>1</v>
      </c>
      <c r="S282" s="349">
        <v>0</v>
      </c>
      <c r="T282" s="347">
        <v>1</v>
      </c>
      <c r="W282" s="61">
        <f t="shared" ref="W282:W283" si="38">J282/(F282+J282)</f>
        <v>3.125E-2</v>
      </c>
      <c r="X282" s="62">
        <f t="shared" si="37"/>
        <v>0</v>
      </c>
      <c r="Y282" s="63">
        <f t="shared" si="33"/>
        <v>0</v>
      </c>
      <c r="Z282" s="66">
        <f t="shared" si="28"/>
        <v>1.0416666666666666E-2</v>
      </c>
      <c r="AA282" s="62">
        <f t="shared" si="34"/>
        <v>1.1904761904761904E-2</v>
      </c>
      <c r="AB282" s="65">
        <f t="shared" si="34"/>
        <v>0</v>
      </c>
      <c r="AC282" s="62">
        <f t="shared" si="34"/>
        <v>1.2345679012345678E-2</v>
      </c>
      <c r="AD282" s="66">
        <f t="shared" si="35"/>
        <v>8.0834803057025281E-3</v>
      </c>
    </row>
    <row r="283" spans="1:35" s="360" customFormat="1">
      <c r="A283" s="75"/>
      <c r="B283" s="76"/>
      <c r="C283" s="124"/>
      <c r="D283" s="77"/>
      <c r="E283" s="77" t="s">
        <v>30</v>
      </c>
      <c r="F283" s="360">
        <f>8+23</f>
        <v>31</v>
      </c>
      <c r="G283" s="354">
        <f>10+24</f>
        <v>34</v>
      </c>
      <c r="H283" s="355">
        <f>11+13</f>
        <v>24</v>
      </c>
      <c r="I283" s="356"/>
      <c r="J283" s="357">
        <v>0</v>
      </c>
      <c r="K283" s="356">
        <v>0</v>
      </c>
      <c r="L283" s="354">
        <v>0</v>
      </c>
      <c r="M283" s="356"/>
      <c r="N283" s="358">
        <f>18+47</f>
        <v>65</v>
      </c>
      <c r="O283" s="357">
        <f>19+41</f>
        <v>60</v>
      </c>
      <c r="P283" s="355">
        <f>15+32</f>
        <v>47</v>
      </c>
      <c r="Q283" s="356"/>
      <c r="R283" s="353">
        <v>0</v>
      </c>
      <c r="S283" s="356">
        <v>1</v>
      </c>
      <c r="T283" s="354">
        <v>0</v>
      </c>
      <c r="U283" s="359"/>
      <c r="W283" s="85">
        <f t="shared" si="38"/>
        <v>0</v>
      </c>
      <c r="X283" s="86">
        <f>K283/(G283+K283)</f>
        <v>0</v>
      </c>
      <c r="Y283" s="87">
        <f t="shared" si="33"/>
        <v>0</v>
      </c>
      <c r="Z283" s="398">
        <f t="shared" si="28"/>
        <v>0</v>
      </c>
      <c r="AA283" s="86">
        <f t="shared" si="34"/>
        <v>0</v>
      </c>
      <c r="AB283" s="89">
        <f t="shared" si="34"/>
        <v>1.6393442622950821E-2</v>
      </c>
      <c r="AC283" s="86">
        <f t="shared" si="34"/>
        <v>0</v>
      </c>
      <c r="AD283" s="284">
        <f t="shared" si="35"/>
        <v>5.4644808743169399E-3</v>
      </c>
      <c r="AE283" s="361"/>
      <c r="AF283" s="362"/>
      <c r="AG283" s="361"/>
      <c r="AH283" s="362"/>
      <c r="AI283" s="361"/>
    </row>
    <row r="284" spans="1:35">
      <c r="B284" s="2" t="s">
        <v>99</v>
      </c>
      <c r="C284" s="17" t="s">
        <v>23</v>
      </c>
      <c r="D284" s="126" t="s">
        <v>24</v>
      </c>
      <c r="E284" s="17" t="s">
        <v>25</v>
      </c>
      <c r="F284" s="4">
        <f>35+5</f>
        <v>40</v>
      </c>
      <c r="G284" s="347">
        <f>26+7</f>
        <v>33</v>
      </c>
      <c r="H284" s="347">
        <f>53+2</f>
        <v>55</v>
      </c>
      <c r="J284" s="350">
        <f>(4+0)/2</f>
        <v>2</v>
      </c>
      <c r="K284" s="349">
        <f>(1+0)/2</f>
        <v>0.5</v>
      </c>
      <c r="L284" s="347">
        <f>(5+0)/2</f>
        <v>2.5</v>
      </c>
      <c r="N284" s="346">
        <f>55+6</f>
        <v>61</v>
      </c>
      <c r="O284" s="347">
        <f>37+4</f>
        <v>41</v>
      </c>
      <c r="P284" s="347">
        <f>51+4</f>
        <v>55</v>
      </c>
      <c r="R284" s="346">
        <f>(4+0)/2</f>
        <v>2</v>
      </c>
      <c r="S284" s="349">
        <f>(5+1)/2</f>
        <v>3</v>
      </c>
      <c r="T284" s="347">
        <f>(6+0)/2</f>
        <v>3</v>
      </c>
      <c r="U284" s="352" t="s">
        <v>34</v>
      </c>
      <c r="V284" s="4" t="s">
        <v>35</v>
      </c>
      <c r="W284" s="61">
        <f t="shared" si="36"/>
        <v>4.7619047619047616E-2</v>
      </c>
      <c r="X284" s="62">
        <f t="shared" si="33"/>
        <v>1.4925373134328358E-2</v>
      </c>
      <c r="Y284" s="63">
        <f t="shared" si="33"/>
        <v>4.3478260869565216E-2</v>
      </c>
      <c r="Z284" s="64">
        <f>AVERAGE(W284:Y284)</f>
        <v>3.5340893874313731E-2</v>
      </c>
      <c r="AA284" s="62">
        <f t="shared" si="34"/>
        <v>3.1746031746031744E-2</v>
      </c>
      <c r="AB284" s="65">
        <f t="shared" si="34"/>
        <v>6.8181818181818177E-2</v>
      </c>
      <c r="AC284" s="62">
        <f t="shared" si="34"/>
        <v>5.1724137931034482E-2</v>
      </c>
      <c r="AD284" s="66">
        <f>AVERAGE(AA284:AC284)</f>
        <v>5.055066261962813E-2</v>
      </c>
      <c r="AE284" s="16">
        <v>1</v>
      </c>
      <c r="AF284" s="15">
        <v>0</v>
      </c>
      <c r="AG284" s="16">
        <v>0</v>
      </c>
      <c r="AH284" s="15">
        <v>1</v>
      </c>
      <c r="AI284" s="16">
        <v>0</v>
      </c>
    </row>
    <row r="285" spans="1:35">
      <c r="E285" s="17" t="s">
        <v>28</v>
      </c>
      <c r="F285" s="4">
        <f>38+4</f>
        <v>42</v>
      </c>
      <c r="G285" s="347">
        <f>26+7</f>
        <v>33</v>
      </c>
      <c r="H285" s="347">
        <f>38+7</f>
        <v>45</v>
      </c>
      <c r="J285" s="350">
        <f>(5+1)/2</f>
        <v>3</v>
      </c>
      <c r="K285" s="349">
        <f>(2+0)/2</f>
        <v>1</v>
      </c>
      <c r="L285" s="347">
        <f>(5+0)/2</f>
        <v>2.5</v>
      </c>
      <c r="N285" s="346">
        <f>26+1</f>
        <v>27</v>
      </c>
      <c r="O285" s="347">
        <f>20+7</f>
        <v>27</v>
      </c>
      <c r="P285" s="347">
        <f>15+2</f>
        <v>17</v>
      </c>
      <c r="R285" s="346">
        <f>(4+0)/2</f>
        <v>2</v>
      </c>
      <c r="S285" s="349">
        <f>(2+1)/2</f>
        <v>1.5</v>
      </c>
      <c r="T285" s="347">
        <v>0</v>
      </c>
      <c r="W285" s="61">
        <f t="shared" si="36"/>
        <v>6.6666666666666666E-2</v>
      </c>
      <c r="X285" s="62">
        <f t="shared" si="33"/>
        <v>2.9411764705882353E-2</v>
      </c>
      <c r="Y285" s="63">
        <f t="shared" si="33"/>
        <v>5.2631578947368418E-2</v>
      </c>
      <c r="Z285" s="64">
        <f t="shared" ref="Z285:Z348" si="39">AVERAGE(W285:Y285)</f>
        <v>4.9570003439972476E-2</v>
      </c>
      <c r="AA285" s="62">
        <f t="shared" si="34"/>
        <v>6.8965517241379309E-2</v>
      </c>
      <c r="AB285" s="65">
        <f t="shared" si="34"/>
        <v>5.2631578947368418E-2</v>
      </c>
      <c r="AC285" s="62">
        <f t="shared" si="34"/>
        <v>0</v>
      </c>
      <c r="AD285" s="66">
        <f t="shared" ref="AD285:AD345" si="40">AVERAGE(AA285:AC285)</f>
        <v>4.0532365396249243E-2</v>
      </c>
    </row>
    <row r="286" spans="1:35">
      <c r="E286" s="17" t="s">
        <v>29</v>
      </c>
      <c r="F286" s="4">
        <f>12+5</f>
        <v>17</v>
      </c>
      <c r="G286" s="347">
        <f>12+1</f>
        <v>13</v>
      </c>
      <c r="H286" s="347">
        <f>22+2</f>
        <v>24</v>
      </c>
      <c r="J286" s="350">
        <f>(1+0)/2</f>
        <v>0.5</v>
      </c>
      <c r="K286" s="349">
        <f>(1+0)/2</f>
        <v>0.5</v>
      </c>
      <c r="L286" s="347">
        <f>(3+1)/2</f>
        <v>2</v>
      </c>
      <c r="N286" s="346">
        <f>75+10</f>
        <v>85</v>
      </c>
      <c r="O286" s="347">
        <f>64+8</f>
        <v>72</v>
      </c>
      <c r="P286" s="347">
        <f>62+5</f>
        <v>67</v>
      </c>
      <c r="R286" s="346">
        <f>(5+1)/2</f>
        <v>3</v>
      </c>
      <c r="S286" s="349">
        <f>(9+0)/2</f>
        <v>4.5</v>
      </c>
      <c r="T286" s="347">
        <f>(1+1)/2</f>
        <v>1</v>
      </c>
      <c r="W286" s="61">
        <f t="shared" si="36"/>
        <v>2.8571428571428571E-2</v>
      </c>
      <c r="X286" s="62">
        <f t="shared" si="33"/>
        <v>3.7037037037037035E-2</v>
      </c>
      <c r="Y286" s="63">
        <f t="shared" si="33"/>
        <v>7.6923076923076927E-2</v>
      </c>
      <c r="Z286" s="64">
        <f t="shared" si="39"/>
        <v>4.751051417718085E-2</v>
      </c>
      <c r="AA286" s="62">
        <f t="shared" si="34"/>
        <v>3.4090909090909088E-2</v>
      </c>
      <c r="AB286" s="65">
        <f t="shared" si="34"/>
        <v>5.8823529411764705E-2</v>
      </c>
      <c r="AC286" s="62">
        <f t="shared" si="34"/>
        <v>1.4705882352941176E-2</v>
      </c>
      <c r="AD286" s="66">
        <f t="shared" si="40"/>
        <v>3.5873440285204991E-2</v>
      </c>
    </row>
    <row r="287" spans="1:35" s="360" customFormat="1">
      <c r="A287" s="75"/>
      <c r="B287" s="76"/>
      <c r="C287" s="77"/>
      <c r="D287" s="77"/>
      <c r="E287" s="77" t="s">
        <v>30</v>
      </c>
      <c r="F287" s="78">
        <f>27+7</f>
        <v>34</v>
      </c>
      <c r="G287" s="354">
        <f>14+2</f>
        <v>16</v>
      </c>
      <c r="H287" s="354">
        <f>22+6</f>
        <v>28</v>
      </c>
      <c r="I287" s="356"/>
      <c r="J287" s="357">
        <f>(1+0)/2</f>
        <v>0.5</v>
      </c>
      <c r="K287" s="356">
        <f>(1+0)/2</f>
        <v>0.5</v>
      </c>
      <c r="L287" s="354">
        <f>(1+0)/2</f>
        <v>0.5</v>
      </c>
      <c r="M287" s="356"/>
      <c r="N287" s="353">
        <f>54+18</f>
        <v>72</v>
      </c>
      <c r="O287" s="354">
        <f>39+5</f>
        <v>44</v>
      </c>
      <c r="P287" s="354">
        <f>38+15</f>
        <v>53</v>
      </c>
      <c r="Q287" s="356"/>
      <c r="R287" s="353">
        <f>(3+1)/2</f>
        <v>2</v>
      </c>
      <c r="S287" s="356">
        <f>(4+0)/2</f>
        <v>2</v>
      </c>
      <c r="T287" s="354">
        <v>0</v>
      </c>
      <c r="U287" s="359"/>
      <c r="W287" s="85">
        <f t="shared" si="36"/>
        <v>1.4492753623188406E-2</v>
      </c>
      <c r="X287" s="86">
        <f t="shared" si="33"/>
        <v>3.0303030303030304E-2</v>
      </c>
      <c r="Y287" s="87">
        <f t="shared" si="33"/>
        <v>1.7543859649122806E-2</v>
      </c>
      <c r="Z287" s="283">
        <f t="shared" si="39"/>
        <v>2.0779881191780505E-2</v>
      </c>
      <c r="AA287" s="86">
        <f t="shared" si="34"/>
        <v>2.7027027027027029E-2</v>
      </c>
      <c r="AB287" s="89">
        <f t="shared" si="34"/>
        <v>4.3478260869565216E-2</v>
      </c>
      <c r="AC287" s="86">
        <f t="shared" si="34"/>
        <v>0</v>
      </c>
      <c r="AD287" s="284">
        <f t="shared" si="40"/>
        <v>2.3501762632197415E-2</v>
      </c>
      <c r="AE287" s="361"/>
      <c r="AF287" s="362"/>
      <c r="AG287" s="361"/>
      <c r="AH287" s="362"/>
      <c r="AI287" s="361"/>
    </row>
    <row r="288" spans="1:35">
      <c r="B288" s="2">
        <v>2</v>
      </c>
      <c r="C288" s="17" t="s">
        <v>41</v>
      </c>
      <c r="D288" s="126" t="s">
        <v>24</v>
      </c>
      <c r="E288" s="17" t="s">
        <v>25</v>
      </c>
      <c r="F288" s="11">
        <f>43+35</f>
        <v>78</v>
      </c>
      <c r="G288" s="347">
        <f>42+26</f>
        <v>68</v>
      </c>
      <c r="H288" s="348">
        <f>56+53</f>
        <v>109</v>
      </c>
      <c r="J288" s="350">
        <f>12+5</f>
        <v>17</v>
      </c>
      <c r="K288" s="349">
        <f>15+7</f>
        <v>22</v>
      </c>
      <c r="L288" s="347">
        <f>20+2</f>
        <v>22</v>
      </c>
      <c r="N288" s="351">
        <f>59+55</f>
        <v>114</v>
      </c>
      <c r="O288" s="350">
        <f>39+37</f>
        <v>76</v>
      </c>
      <c r="P288" s="348">
        <f>54+51</f>
        <v>105</v>
      </c>
      <c r="R288" s="346">
        <f>20+6</f>
        <v>26</v>
      </c>
      <c r="S288" s="349">
        <f>12+4</f>
        <v>16</v>
      </c>
      <c r="T288" s="347">
        <f>14+4</f>
        <v>18</v>
      </c>
      <c r="U288" s="352" t="s">
        <v>26</v>
      </c>
      <c r="V288" s="11" t="s">
        <v>100</v>
      </c>
      <c r="W288" s="61">
        <f t="shared" si="36"/>
        <v>0.17894736842105263</v>
      </c>
      <c r="X288" s="62">
        <f t="shared" si="33"/>
        <v>0.24444444444444444</v>
      </c>
      <c r="Y288" s="63">
        <f t="shared" si="33"/>
        <v>0.16793893129770993</v>
      </c>
      <c r="Z288" s="64">
        <f t="shared" si="39"/>
        <v>0.19711024805440233</v>
      </c>
      <c r="AA288" s="62">
        <f t="shared" si="34"/>
        <v>0.18571428571428572</v>
      </c>
      <c r="AB288" s="65">
        <f t="shared" si="34"/>
        <v>0.17391304347826086</v>
      </c>
      <c r="AC288" s="62">
        <f t="shared" si="34"/>
        <v>0.14634146341463414</v>
      </c>
      <c r="AD288" s="66">
        <f t="shared" si="40"/>
        <v>0.16865626420239357</v>
      </c>
      <c r="AE288" s="16">
        <v>1</v>
      </c>
      <c r="AF288" s="15">
        <v>0</v>
      </c>
      <c r="AG288" s="16">
        <v>0</v>
      </c>
      <c r="AH288" s="15">
        <v>1</v>
      </c>
      <c r="AI288" s="16">
        <v>0</v>
      </c>
    </row>
    <row r="289" spans="1:35">
      <c r="E289" s="17" t="s">
        <v>28</v>
      </c>
      <c r="F289" s="11">
        <f>66+38</f>
        <v>104</v>
      </c>
      <c r="G289" s="347">
        <f>47+26</f>
        <v>73</v>
      </c>
      <c r="H289" s="348">
        <f>42+38</f>
        <v>80</v>
      </c>
      <c r="J289" s="350">
        <f>23+4</f>
        <v>27</v>
      </c>
      <c r="K289" s="349">
        <f>13+7</f>
        <v>20</v>
      </c>
      <c r="L289" s="347">
        <f>14+7</f>
        <v>21</v>
      </c>
      <c r="N289" s="351">
        <f>30+26</f>
        <v>56</v>
      </c>
      <c r="O289" s="350">
        <f>32+20</f>
        <v>52</v>
      </c>
      <c r="P289" s="348">
        <f>23+15</f>
        <v>38</v>
      </c>
      <c r="R289" s="346">
        <f>11+1</f>
        <v>12</v>
      </c>
      <c r="S289" s="349">
        <f>13+7</f>
        <v>20</v>
      </c>
      <c r="T289" s="347">
        <f>20+2</f>
        <v>22</v>
      </c>
      <c r="W289" s="61">
        <f t="shared" si="36"/>
        <v>0.20610687022900764</v>
      </c>
      <c r="X289" s="62">
        <f t="shared" si="33"/>
        <v>0.21505376344086022</v>
      </c>
      <c r="Y289" s="63">
        <f t="shared" si="33"/>
        <v>0.20792079207920791</v>
      </c>
      <c r="Z289" s="64">
        <f t="shared" si="39"/>
        <v>0.20969380858302525</v>
      </c>
      <c r="AA289" s="62">
        <f t="shared" si="34"/>
        <v>0.17647058823529413</v>
      </c>
      <c r="AB289" s="65">
        <f t="shared" si="34"/>
        <v>0.27777777777777779</v>
      </c>
      <c r="AC289" s="62">
        <f t="shared" si="34"/>
        <v>0.36666666666666664</v>
      </c>
      <c r="AD289" s="66">
        <f t="shared" si="40"/>
        <v>0.27363834422657951</v>
      </c>
    </row>
    <row r="290" spans="1:35">
      <c r="E290" s="17" t="s">
        <v>29</v>
      </c>
      <c r="F290" s="11">
        <f>16+12</f>
        <v>28</v>
      </c>
      <c r="G290" s="347">
        <f>30+12</f>
        <v>42</v>
      </c>
      <c r="H290" s="348">
        <f>29+22</f>
        <v>51</v>
      </c>
      <c r="J290" s="350">
        <f>15+5</f>
        <v>20</v>
      </c>
      <c r="K290" s="349">
        <f>22+1</f>
        <v>23</v>
      </c>
      <c r="L290" s="347">
        <f>8+2</f>
        <v>10</v>
      </c>
      <c r="N290" s="351">
        <f>74+75</f>
        <v>149</v>
      </c>
      <c r="O290" s="350">
        <f>77+64</f>
        <v>141</v>
      </c>
      <c r="P290" s="348">
        <f>61+62</f>
        <v>123</v>
      </c>
      <c r="R290" s="346">
        <f>9+10</f>
        <v>19</v>
      </c>
      <c r="S290" s="349">
        <f>18+8</f>
        <v>26</v>
      </c>
      <c r="T290" s="347">
        <f>19+5</f>
        <v>24</v>
      </c>
      <c r="W290" s="61">
        <f t="shared" si="36"/>
        <v>0.41666666666666669</v>
      </c>
      <c r="X290" s="62">
        <f t="shared" si="33"/>
        <v>0.35384615384615387</v>
      </c>
      <c r="Y290" s="63">
        <f t="shared" si="33"/>
        <v>0.16393442622950818</v>
      </c>
      <c r="Z290" s="64">
        <f t="shared" si="39"/>
        <v>0.31148241558077622</v>
      </c>
      <c r="AA290" s="62">
        <f t="shared" si="34"/>
        <v>0.1130952380952381</v>
      </c>
      <c r="AB290" s="65">
        <f t="shared" si="34"/>
        <v>0.15568862275449102</v>
      </c>
      <c r="AC290" s="62">
        <f t="shared" si="34"/>
        <v>0.16326530612244897</v>
      </c>
      <c r="AD290" s="66">
        <f t="shared" si="40"/>
        <v>0.14401638899072602</v>
      </c>
    </row>
    <row r="291" spans="1:35" s="386" customFormat="1" ht="16.5" thickBot="1">
      <c r="A291" s="109"/>
      <c r="B291" s="110"/>
      <c r="C291" s="111"/>
      <c r="D291" s="111"/>
      <c r="E291" s="111" t="s">
        <v>30</v>
      </c>
      <c r="F291" s="386">
        <f>23+27</f>
        <v>50</v>
      </c>
      <c r="G291" s="399">
        <f>24+14</f>
        <v>38</v>
      </c>
      <c r="H291" s="400">
        <f>13+22</f>
        <v>35</v>
      </c>
      <c r="I291" s="383"/>
      <c r="J291" s="384">
        <f>8+7</f>
        <v>15</v>
      </c>
      <c r="K291" s="383">
        <f>10+2</f>
        <v>12</v>
      </c>
      <c r="L291" s="399">
        <f>11+6</f>
        <v>17</v>
      </c>
      <c r="M291" s="383"/>
      <c r="N291" s="401">
        <f>47+54</f>
        <v>101</v>
      </c>
      <c r="O291" s="384">
        <f>41+39</f>
        <v>80</v>
      </c>
      <c r="P291" s="400">
        <f>32+38</f>
        <v>70</v>
      </c>
      <c r="Q291" s="383"/>
      <c r="R291" s="402">
        <f>18+7</f>
        <v>25</v>
      </c>
      <c r="S291" s="383">
        <f>19+5</f>
        <v>24</v>
      </c>
      <c r="T291" s="399">
        <f>15+7</f>
        <v>22</v>
      </c>
      <c r="U291" s="403"/>
      <c r="W291" s="120">
        <f t="shared" si="36"/>
        <v>0.23076923076923078</v>
      </c>
      <c r="X291" s="118">
        <f t="shared" si="33"/>
        <v>0.24</v>
      </c>
      <c r="Y291" s="121">
        <f t="shared" si="33"/>
        <v>0.32692307692307693</v>
      </c>
      <c r="Z291" s="283">
        <f t="shared" si="39"/>
        <v>0.26589743589743592</v>
      </c>
      <c r="AA291" s="86">
        <f t="shared" si="34"/>
        <v>0.1984126984126984</v>
      </c>
      <c r="AB291" s="89">
        <f t="shared" si="34"/>
        <v>0.23076923076923078</v>
      </c>
      <c r="AC291" s="86">
        <f t="shared" si="34"/>
        <v>0.2391304347826087</v>
      </c>
      <c r="AD291" s="284">
        <f t="shared" si="40"/>
        <v>0.22277078798817929</v>
      </c>
      <c r="AE291" s="388"/>
      <c r="AF291" s="389"/>
      <c r="AG291" s="388"/>
      <c r="AH291" s="389"/>
      <c r="AI291" s="388"/>
    </row>
    <row r="292" spans="1:35" ht="16.5" thickTop="1">
      <c r="A292" s="1" t="s">
        <v>101</v>
      </c>
      <c r="B292" s="2">
        <v>2</v>
      </c>
      <c r="C292" s="17" t="s">
        <v>36</v>
      </c>
      <c r="D292" s="17" t="s">
        <v>37</v>
      </c>
      <c r="E292" s="17" t="s">
        <v>25</v>
      </c>
      <c r="F292" s="369" t="s">
        <v>42</v>
      </c>
      <c r="G292" s="378" t="s">
        <v>42</v>
      </c>
      <c r="H292" s="378" t="s">
        <v>42</v>
      </c>
      <c r="J292" s="370">
        <v>0</v>
      </c>
      <c r="K292" s="379">
        <v>0</v>
      </c>
      <c r="L292" s="379">
        <v>0</v>
      </c>
      <c r="N292" s="351">
        <v>215</v>
      </c>
      <c r="O292" s="350">
        <v>140</v>
      </c>
      <c r="P292" s="348">
        <v>159</v>
      </c>
      <c r="R292" s="346">
        <v>0</v>
      </c>
      <c r="S292" s="349">
        <v>1</v>
      </c>
      <c r="T292" s="347">
        <v>1</v>
      </c>
      <c r="U292" s="352" t="s">
        <v>34</v>
      </c>
      <c r="V292" s="4" t="s">
        <v>35</v>
      </c>
      <c r="W292" s="134" t="s">
        <v>43</v>
      </c>
      <c r="X292" s="134" t="s">
        <v>43</v>
      </c>
      <c r="Y292" s="134" t="s">
        <v>43</v>
      </c>
      <c r="Z292" s="64"/>
      <c r="AA292" s="62">
        <f t="shared" si="34"/>
        <v>0</v>
      </c>
      <c r="AB292" s="65">
        <f t="shared" si="34"/>
        <v>7.0921985815602835E-3</v>
      </c>
      <c r="AC292" s="62">
        <f t="shared" si="34"/>
        <v>6.2500000000000003E-3</v>
      </c>
      <c r="AD292" s="66">
        <f t="shared" si="40"/>
        <v>4.4473995271867616E-3</v>
      </c>
      <c r="AE292" s="16">
        <v>0</v>
      </c>
      <c r="AF292" s="15">
        <v>0</v>
      </c>
      <c r="AG292" s="16">
        <v>1</v>
      </c>
      <c r="AH292" s="15">
        <v>0</v>
      </c>
      <c r="AI292" s="16">
        <v>0</v>
      </c>
    </row>
    <row r="293" spans="1:35">
      <c r="E293" s="17" t="s">
        <v>28</v>
      </c>
      <c r="F293" s="370" t="s">
        <v>42</v>
      </c>
      <c r="G293" s="379" t="s">
        <v>42</v>
      </c>
      <c r="H293" s="379" t="s">
        <v>42</v>
      </c>
      <c r="J293" s="370">
        <v>0</v>
      </c>
      <c r="K293" s="379">
        <v>0</v>
      </c>
      <c r="L293" s="379">
        <v>0</v>
      </c>
      <c r="N293" s="351">
        <v>425</v>
      </c>
      <c r="O293" s="350">
        <v>193</v>
      </c>
      <c r="P293" s="348">
        <v>355</v>
      </c>
      <c r="R293" s="346">
        <v>2</v>
      </c>
      <c r="S293" s="349">
        <v>0</v>
      </c>
      <c r="T293" s="347">
        <v>0</v>
      </c>
      <c r="W293" s="134" t="s">
        <v>43</v>
      </c>
      <c r="X293" s="134" t="s">
        <v>43</v>
      </c>
      <c r="Y293" s="134" t="s">
        <v>43</v>
      </c>
      <c r="Z293" s="64"/>
      <c r="AA293" s="62">
        <f t="shared" si="34"/>
        <v>4.6838407494145199E-3</v>
      </c>
      <c r="AB293" s="65">
        <f t="shared" si="34"/>
        <v>0</v>
      </c>
      <c r="AC293" s="62">
        <f t="shared" si="34"/>
        <v>0</v>
      </c>
      <c r="AD293" s="66">
        <f t="shared" si="40"/>
        <v>1.56128024980484E-3</v>
      </c>
    </row>
    <row r="294" spans="1:35">
      <c r="E294" s="17" t="s">
        <v>29</v>
      </c>
      <c r="F294" s="370" t="s">
        <v>42</v>
      </c>
      <c r="G294" s="379" t="s">
        <v>42</v>
      </c>
      <c r="H294" s="379" t="s">
        <v>42</v>
      </c>
      <c r="J294" s="370">
        <v>0</v>
      </c>
      <c r="K294" s="379">
        <v>0</v>
      </c>
      <c r="L294" s="379">
        <v>0</v>
      </c>
      <c r="N294" s="351">
        <v>198</v>
      </c>
      <c r="O294" s="350">
        <v>173</v>
      </c>
      <c r="P294" s="348">
        <v>165</v>
      </c>
      <c r="R294" s="346">
        <v>0</v>
      </c>
      <c r="S294" s="349">
        <v>0</v>
      </c>
      <c r="T294" s="347">
        <v>0</v>
      </c>
      <c r="W294" s="134" t="s">
        <v>43</v>
      </c>
      <c r="X294" s="134" t="s">
        <v>43</v>
      </c>
      <c r="Y294" s="134" t="s">
        <v>43</v>
      </c>
      <c r="Z294" s="64"/>
      <c r="AA294" s="62">
        <f t="shared" si="34"/>
        <v>0</v>
      </c>
      <c r="AB294" s="65">
        <f t="shared" si="34"/>
        <v>0</v>
      </c>
      <c r="AC294" s="62">
        <f t="shared" si="34"/>
        <v>0</v>
      </c>
      <c r="AD294" s="66">
        <f t="shared" si="40"/>
        <v>0</v>
      </c>
    </row>
    <row r="295" spans="1:35" s="360" customFormat="1">
      <c r="A295" s="75"/>
      <c r="B295" s="76"/>
      <c r="C295" s="77"/>
      <c r="D295" s="77"/>
      <c r="E295" s="77" t="s">
        <v>30</v>
      </c>
      <c r="F295" s="371" t="s">
        <v>42</v>
      </c>
      <c r="G295" s="380" t="s">
        <v>42</v>
      </c>
      <c r="H295" s="380" t="s">
        <v>42</v>
      </c>
      <c r="I295" s="356"/>
      <c r="J295" s="371">
        <v>0</v>
      </c>
      <c r="K295" s="380">
        <v>0</v>
      </c>
      <c r="L295" s="380">
        <v>0</v>
      </c>
      <c r="M295" s="356"/>
      <c r="N295" s="358">
        <v>642</v>
      </c>
      <c r="O295" s="357">
        <v>402</v>
      </c>
      <c r="P295" s="355">
        <v>404</v>
      </c>
      <c r="Q295" s="356"/>
      <c r="R295" s="353">
        <v>0</v>
      </c>
      <c r="S295" s="356">
        <v>0</v>
      </c>
      <c r="T295" s="354">
        <v>0</v>
      </c>
      <c r="U295" s="359"/>
      <c r="W295" s="147" t="s">
        <v>43</v>
      </c>
      <c r="X295" s="147" t="s">
        <v>43</v>
      </c>
      <c r="Y295" s="147" t="s">
        <v>43</v>
      </c>
      <c r="Z295" s="283"/>
      <c r="AA295" s="86">
        <f t="shared" si="34"/>
        <v>0</v>
      </c>
      <c r="AB295" s="89">
        <f t="shared" si="34"/>
        <v>0</v>
      </c>
      <c r="AC295" s="86">
        <f t="shared" si="34"/>
        <v>0</v>
      </c>
      <c r="AD295" s="284">
        <f t="shared" si="40"/>
        <v>0</v>
      </c>
      <c r="AE295" s="361"/>
      <c r="AF295" s="362"/>
      <c r="AG295" s="361"/>
      <c r="AH295" s="362"/>
      <c r="AI295" s="361"/>
    </row>
    <row r="296" spans="1:35">
      <c r="B296" s="2">
        <v>3</v>
      </c>
      <c r="C296" s="17" t="s">
        <v>23</v>
      </c>
      <c r="D296" s="126" t="s">
        <v>24</v>
      </c>
      <c r="E296" s="17" t="s">
        <v>25</v>
      </c>
      <c r="F296" s="11">
        <f>(133+311)/2</f>
        <v>222</v>
      </c>
      <c r="G296" s="347">
        <f>(182+397)/2</f>
        <v>289.5</v>
      </c>
      <c r="H296" s="378" t="s">
        <v>42</v>
      </c>
      <c r="J296" s="350">
        <v>0</v>
      </c>
      <c r="K296" s="349">
        <v>0</v>
      </c>
      <c r="L296" s="370">
        <v>0</v>
      </c>
      <c r="N296" s="369" t="s">
        <v>42</v>
      </c>
      <c r="O296" s="378" t="s">
        <v>42</v>
      </c>
      <c r="P296" s="378" t="s">
        <v>42</v>
      </c>
      <c r="R296" s="369">
        <v>0</v>
      </c>
      <c r="S296" s="378">
        <v>0</v>
      </c>
      <c r="T296" s="378">
        <v>0</v>
      </c>
      <c r="U296" s="372" t="s">
        <v>34</v>
      </c>
      <c r="V296" s="4" t="s">
        <v>35</v>
      </c>
      <c r="W296" s="61">
        <f t="shared" si="36"/>
        <v>0</v>
      </c>
      <c r="X296" s="62">
        <f t="shared" si="33"/>
        <v>0</v>
      </c>
      <c r="Y296" s="134" t="s">
        <v>43</v>
      </c>
      <c r="Z296" s="64">
        <f t="shared" si="39"/>
        <v>0</v>
      </c>
      <c r="AA296" s="134" t="s">
        <v>43</v>
      </c>
      <c r="AB296" s="134" t="s">
        <v>43</v>
      </c>
      <c r="AC296" s="134" t="s">
        <v>43</v>
      </c>
      <c r="AD296" s="66"/>
      <c r="AE296" s="16">
        <v>0</v>
      </c>
      <c r="AF296" s="15">
        <v>1</v>
      </c>
      <c r="AG296" s="16">
        <v>0</v>
      </c>
      <c r="AH296" s="15">
        <v>0</v>
      </c>
      <c r="AI296" s="16">
        <v>0</v>
      </c>
    </row>
    <row r="297" spans="1:35">
      <c r="E297" s="17" t="s">
        <v>28</v>
      </c>
      <c r="F297" s="11">
        <f>(145+444)/2</f>
        <v>294.5</v>
      </c>
      <c r="G297" s="347">
        <f>(160+360)/2</f>
        <v>260</v>
      </c>
      <c r="H297" s="379" t="s">
        <v>42</v>
      </c>
      <c r="J297" s="350">
        <v>0</v>
      </c>
      <c r="K297" s="349">
        <v>0</v>
      </c>
      <c r="L297" s="370">
        <v>0</v>
      </c>
      <c r="N297" s="370" t="s">
        <v>42</v>
      </c>
      <c r="O297" s="379" t="s">
        <v>42</v>
      </c>
      <c r="P297" s="379" t="s">
        <v>42</v>
      </c>
      <c r="R297" s="370">
        <v>0</v>
      </c>
      <c r="S297" s="379">
        <v>0</v>
      </c>
      <c r="T297" s="379">
        <v>0</v>
      </c>
      <c r="U297" s="373"/>
      <c r="W297" s="61">
        <f t="shared" si="36"/>
        <v>0</v>
      </c>
      <c r="X297" s="62">
        <f t="shared" si="33"/>
        <v>0</v>
      </c>
      <c r="Y297" s="134" t="s">
        <v>43</v>
      </c>
      <c r="Z297" s="64">
        <f t="shared" si="39"/>
        <v>0</v>
      </c>
      <c r="AA297" s="134" t="s">
        <v>43</v>
      </c>
      <c r="AB297" s="134" t="s">
        <v>43</v>
      </c>
      <c r="AC297" s="134" t="s">
        <v>43</v>
      </c>
      <c r="AD297" s="66"/>
    </row>
    <row r="298" spans="1:35">
      <c r="E298" s="17" t="s">
        <v>29</v>
      </c>
      <c r="F298" s="11">
        <f>(360+275)/2</f>
        <v>317.5</v>
      </c>
      <c r="G298" s="347">
        <f>(367+388)/2</f>
        <v>377.5</v>
      </c>
      <c r="H298" s="379" t="s">
        <v>42</v>
      </c>
      <c r="J298" s="350">
        <v>0</v>
      </c>
      <c r="K298" s="349">
        <v>1</v>
      </c>
      <c r="L298" s="370">
        <v>0</v>
      </c>
      <c r="N298" s="370" t="s">
        <v>42</v>
      </c>
      <c r="O298" s="379" t="s">
        <v>42</v>
      </c>
      <c r="P298" s="379" t="s">
        <v>42</v>
      </c>
      <c r="R298" s="370">
        <v>0</v>
      </c>
      <c r="S298" s="379">
        <v>0</v>
      </c>
      <c r="T298" s="379">
        <v>0</v>
      </c>
      <c r="U298" s="373"/>
      <c r="W298" s="61">
        <f t="shared" si="36"/>
        <v>0</v>
      </c>
      <c r="X298" s="62">
        <f t="shared" si="33"/>
        <v>2.6420079260237781E-3</v>
      </c>
      <c r="Y298" s="134" t="s">
        <v>43</v>
      </c>
      <c r="Z298" s="64">
        <f t="shared" si="39"/>
        <v>1.321003963011889E-3</v>
      </c>
      <c r="AA298" s="134" t="s">
        <v>43</v>
      </c>
      <c r="AB298" s="134" t="s">
        <v>43</v>
      </c>
      <c r="AC298" s="134" t="s">
        <v>43</v>
      </c>
      <c r="AD298" s="66"/>
    </row>
    <row r="299" spans="1:35" s="360" customFormat="1">
      <c r="A299" s="75"/>
      <c r="B299" s="76"/>
      <c r="C299" s="77"/>
      <c r="D299" s="77"/>
      <c r="E299" s="77" t="s">
        <v>30</v>
      </c>
      <c r="F299" s="360">
        <f>(390+337)/2</f>
        <v>363.5</v>
      </c>
      <c r="G299" s="354">
        <f>(345+315)/2</f>
        <v>330</v>
      </c>
      <c r="H299" s="380" t="s">
        <v>42</v>
      </c>
      <c r="I299" s="356"/>
      <c r="J299" s="357">
        <v>1</v>
      </c>
      <c r="K299" s="356">
        <v>0</v>
      </c>
      <c r="L299" s="371">
        <v>0</v>
      </c>
      <c r="M299" s="356"/>
      <c r="N299" s="371" t="s">
        <v>42</v>
      </c>
      <c r="O299" s="380" t="s">
        <v>42</v>
      </c>
      <c r="P299" s="380" t="s">
        <v>42</v>
      </c>
      <c r="Q299" s="356"/>
      <c r="R299" s="371">
        <v>0</v>
      </c>
      <c r="S299" s="380">
        <v>0</v>
      </c>
      <c r="T299" s="380">
        <v>0</v>
      </c>
      <c r="U299" s="374"/>
      <c r="W299" s="85">
        <f t="shared" si="36"/>
        <v>2.7434842249657062E-3</v>
      </c>
      <c r="X299" s="86">
        <f t="shared" si="33"/>
        <v>0</v>
      </c>
      <c r="Y299" s="147" t="s">
        <v>43</v>
      </c>
      <c r="Z299" s="283">
        <f t="shared" si="39"/>
        <v>1.3717421124828531E-3</v>
      </c>
      <c r="AA299" s="147" t="s">
        <v>43</v>
      </c>
      <c r="AB299" s="147" t="s">
        <v>43</v>
      </c>
      <c r="AC299" s="147" t="s">
        <v>43</v>
      </c>
      <c r="AD299" s="284"/>
      <c r="AE299" s="361"/>
      <c r="AF299" s="362"/>
      <c r="AG299" s="361"/>
      <c r="AH299" s="362"/>
      <c r="AI299" s="361"/>
    </row>
    <row r="300" spans="1:35">
      <c r="B300" s="2">
        <v>4</v>
      </c>
      <c r="C300" s="17" t="s">
        <v>23</v>
      </c>
      <c r="D300" s="126" t="s">
        <v>24</v>
      </c>
      <c r="E300" s="17" t="s">
        <v>25</v>
      </c>
      <c r="F300" s="11">
        <f>(311+222)/2</f>
        <v>266.5</v>
      </c>
      <c r="G300" s="347">
        <f>(397+259)/2</f>
        <v>328</v>
      </c>
      <c r="H300" s="348">
        <f>(409+289)/2</f>
        <v>349</v>
      </c>
      <c r="J300" s="350">
        <v>34</v>
      </c>
      <c r="K300" s="349">
        <v>31</v>
      </c>
      <c r="L300" s="347">
        <v>16</v>
      </c>
      <c r="N300" s="351">
        <f>(398+243)/2</f>
        <v>320.5</v>
      </c>
      <c r="O300" s="350">
        <f>(276+101)/2</f>
        <v>188.5</v>
      </c>
      <c r="P300" s="348">
        <f>(504+305)/2</f>
        <v>404.5</v>
      </c>
      <c r="R300" s="346">
        <v>39</v>
      </c>
      <c r="S300" s="349">
        <v>25</v>
      </c>
      <c r="T300" s="347">
        <v>54</v>
      </c>
      <c r="U300" s="352" t="s">
        <v>34</v>
      </c>
      <c r="V300" s="4" t="s">
        <v>35</v>
      </c>
      <c r="W300" s="61">
        <f t="shared" si="36"/>
        <v>0.11314475873544093</v>
      </c>
      <c r="X300" s="62">
        <f t="shared" si="33"/>
        <v>8.6350974930362118E-2</v>
      </c>
      <c r="Y300" s="63">
        <f t="shared" si="33"/>
        <v>4.3835616438356165E-2</v>
      </c>
      <c r="Z300" s="64">
        <f t="shared" si="39"/>
        <v>8.1110450034719728E-2</v>
      </c>
      <c r="AA300" s="62">
        <f t="shared" si="34"/>
        <v>0.10848400556328233</v>
      </c>
      <c r="AB300" s="65">
        <f t="shared" si="34"/>
        <v>0.117096018735363</v>
      </c>
      <c r="AC300" s="62">
        <f t="shared" si="34"/>
        <v>0.11777535441657579</v>
      </c>
      <c r="AD300" s="66">
        <f t="shared" si="40"/>
        <v>0.11445179290507369</v>
      </c>
      <c r="AE300" s="16">
        <v>1</v>
      </c>
      <c r="AF300" s="15">
        <v>0</v>
      </c>
      <c r="AG300" s="16">
        <v>0</v>
      </c>
      <c r="AH300" s="15">
        <v>1</v>
      </c>
      <c r="AI300" s="16">
        <v>0</v>
      </c>
    </row>
    <row r="301" spans="1:35">
      <c r="E301" s="17" t="s">
        <v>28</v>
      </c>
      <c r="F301" s="11">
        <f>(444+242)/2</f>
        <v>343</v>
      </c>
      <c r="G301" s="347">
        <f>(360+223)/2</f>
        <v>291.5</v>
      </c>
      <c r="H301" s="348">
        <f>(397+258)/2</f>
        <v>327.5</v>
      </c>
      <c r="J301" s="350">
        <v>30</v>
      </c>
      <c r="K301" s="349">
        <v>44</v>
      </c>
      <c r="L301" s="347">
        <v>50</v>
      </c>
      <c r="N301" s="351">
        <f>(377+182)/2</f>
        <v>279.5</v>
      </c>
      <c r="O301" s="350">
        <f>(280+200)/2</f>
        <v>240</v>
      </c>
      <c r="P301" s="348">
        <f>(319+196)/2</f>
        <v>257.5</v>
      </c>
      <c r="R301" s="346">
        <v>36</v>
      </c>
      <c r="S301" s="349">
        <v>27</v>
      </c>
      <c r="T301" s="347">
        <v>25</v>
      </c>
      <c r="W301" s="61">
        <f t="shared" si="36"/>
        <v>8.0428954423592491E-2</v>
      </c>
      <c r="X301" s="62">
        <f t="shared" si="33"/>
        <v>0.13114754098360656</v>
      </c>
      <c r="Y301" s="63">
        <f t="shared" si="33"/>
        <v>0.13245033112582782</v>
      </c>
      <c r="Z301" s="64">
        <f t="shared" si="39"/>
        <v>0.11467560884434229</v>
      </c>
      <c r="AA301" s="62">
        <f t="shared" si="34"/>
        <v>0.11410459587955626</v>
      </c>
      <c r="AB301" s="65">
        <f t="shared" si="34"/>
        <v>0.10112359550561797</v>
      </c>
      <c r="AC301" s="62">
        <f t="shared" si="34"/>
        <v>8.8495575221238937E-2</v>
      </c>
      <c r="AD301" s="66">
        <f t="shared" si="40"/>
        <v>0.10124125553547107</v>
      </c>
    </row>
    <row r="302" spans="1:35">
      <c r="E302" s="17" t="s">
        <v>29</v>
      </c>
      <c r="F302" s="11">
        <f>(275+193)/2</f>
        <v>234</v>
      </c>
      <c r="G302" s="347">
        <f>(388+256)/2</f>
        <v>322</v>
      </c>
      <c r="H302" s="348">
        <f>(351+242)/2</f>
        <v>296.5</v>
      </c>
      <c r="J302" s="350">
        <v>23</v>
      </c>
      <c r="K302" s="349">
        <v>40</v>
      </c>
      <c r="L302" s="347">
        <v>38</v>
      </c>
      <c r="N302" s="351">
        <f>(562+357)/2</f>
        <v>459.5</v>
      </c>
      <c r="O302" s="350">
        <f>(434+312)/2</f>
        <v>373</v>
      </c>
      <c r="P302" s="348">
        <f>(404+213)/2</f>
        <v>308.5</v>
      </c>
      <c r="R302" s="346">
        <v>40</v>
      </c>
      <c r="S302" s="349">
        <v>51</v>
      </c>
      <c r="T302" s="347">
        <v>47</v>
      </c>
      <c r="W302" s="61">
        <f t="shared" si="36"/>
        <v>8.9494163424124515E-2</v>
      </c>
      <c r="X302" s="62">
        <f t="shared" si="33"/>
        <v>0.11049723756906077</v>
      </c>
      <c r="Y302" s="63">
        <f t="shared" si="33"/>
        <v>0.11360239162929746</v>
      </c>
      <c r="Z302" s="64">
        <f t="shared" si="39"/>
        <v>0.10453126420749426</v>
      </c>
      <c r="AA302" s="62">
        <f t="shared" si="34"/>
        <v>8.0080080080080079E-2</v>
      </c>
      <c r="AB302" s="65">
        <f t="shared" si="34"/>
        <v>0.12028301886792453</v>
      </c>
      <c r="AC302" s="62">
        <f t="shared" si="34"/>
        <v>0.13220815752461323</v>
      </c>
      <c r="AD302" s="66">
        <f t="shared" si="40"/>
        <v>0.11085708549087263</v>
      </c>
    </row>
    <row r="303" spans="1:35" s="360" customFormat="1">
      <c r="A303" s="75"/>
      <c r="B303" s="76"/>
      <c r="C303" s="77"/>
      <c r="D303" s="77"/>
      <c r="E303" s="77" t="s">
        <v>30</v>
      </c>
      <c r="F303" s="360">
        <f>(337+223)/2</f>
        <v>280</v>
      </c>
      <c r="G303" s="354">
        <f>(315+214)/2</f>
        <v>264.5</v>
      </c>
      <c r="H303" s="355">
        <f>(223+150)/2</f>
        <v>186.5</v>
      </c>
      <c r="I303" s="356"/>
      <c r="J303" s="357">
        <v>35</v>
      </c>
      <c r="K303" s="356">
        <v>47</v>
      </c>
      <c r="L303" s="354">
        <v>16</v>
      </c>
      <c r="M303" s="356"/>
      <c r="N303" s="358">
        <f>(631+399)/2</f>
        <v>515</v>
      </c>
      <c r="O303" s="357">
        <f>(404+251)/2</f>
        <v>327.5</v>
      </c>
      <c r="P303" s="355">
        <f>(350+226)/2</f>
        <v>288</v>
      </c>
      <c r="Q303" s="356"/>
      <c r="R303" s="353">
        <v>61</v>
      </c>
      <c r="S303" s="356">
        <v>42</v>
      </c>
      <c r="T303" s="354">
        <v>37</v>
      </c>
      <c r="U303" s="359"/>
      <c r="W303" s="85">
        <f t="shared" si="36"/>
        <v>0.1111111111111111</v>
      </c>
      <c r="X303" s="86">
        <f t="shared" si="33"/>
        <v>0.1508828250401284</v>
      </c>
      <c r="Y303" s="87">
        <f t="shared" si="33"/>
        <v>7.9012345679012344E-2</v>
      </c>
      <c r="Z303" s="283">
        <f t="shared" si="39"/>
        <v>0.11366876061008395</v>
      </c>
      <c r="AA303" s="86">
        <f t="shared" si="34"/>
        <v>0.10590277777777778</v>
      </c>
      <c r="AB303" s="89">
        <f t="shared" si="34"/>
        <v>0.11366711772665765</v>
      </c>
      <c r="AC303" s="86">
        <f t="shared" si="34"/>
        <v>0.11384615384615385</v>
      </c>
      <c r="AD303" s="284">
        <f t="shared" si="40"/>
        <v>0.11113868311686309</v>
      </c>
      <c r="AE303" s="361"/>
      <c r="AF303" s="362"/>
      <c r="AG303" s="361"/>
      <c r="AH303" s="362"/>
      <c r="AI303" s="361"/>
    </row>
    <row r="304" spans="1:35">
      <c r="B304" s="2" t="s">
        <v>141</v>
      </c>
      <c r="C304" s="17" t="s">
        <v>23</v>
      </c>
      <c r="D304" s="126" t="s">
        <v>24</v>
      </c>
      <c r="E304" s="17" t="s">
        <v>25</v>
      </c>
      <c r="F304" s="11">
        <v>222</v>
      </c>
      <c r="G304" s="347">
        <v>259</v>
      </c>
      <c r="H304" s="348">
        <v>289</v>
      </c>
      <c r="J304" s="350">
        <f>(7+0)/2</f>
        <v>3.5</v>
      </c>
      <c r="K304" s="349">
        <f>(16+0)/2</f>
        <v>8</v>
      </c>
      <c r="L304" s="347">
        <f>(9+0)/2</f>
        <v>4.5</v>
      </c>
      <c r="N304" s="351">
        <v>243</v>
      </c>
      <c r="O304" s="350">
        <v>101</v>
      </c>
      <c r="P304" s="348">
        <v>305</v>
      </c>
      <c r="R304" s="346">
        <f>(12+0)/2</f>
        <v>6</v>
      </c>
      <c r="S304" s="349">
        <f>(13+0)/2</f>
        <v>6.5</v>
      </c>
      <c r="T304" s="347">
        <f>(12+1)/2</f>
        <v>6.5</v>
      </c>
      <c r="U304" s="352" t="s">
        <v>26</v>
      </c>
      <c r="V304" s="11" t="s">
        <v>103</v>
      </c>
      <c r="W304" s="61">
        <f t="shared" si="36"/>
        <v>1.5521064301552107E-2</v>
      </c>
      <c r="X304" s="62">
        <f t="shared" si="33"/>
        <v>2.9962546816479401E-2</v>
      </c>
      <c r="Y304" s="63">
        <f t="shared" si="33"/>
        <v>1.5332197614991482E-2</v>
      </c>
      <c r="Z304" s="64">
        <f t="shared" si="39"/>
        <v>2.0271936244340996E-2</v>
      </c>
      <c r="AA304" s="62">
        <f t="shared" si="34"/>
        <v>2.4096385542168676E-2</v>
      </c>
      <c r="AB304" s="65">
        <f t="shared" si="34"/>
        <v>6.0465116279069767E-2</v>
      </c>
      <c r="AC304" s="62">
        <f t="shared" si="34"/>
        <v>2.0866773675762441E-2</v>
      </c>
      <c r="AD304" s="66">
        <f t="shared" si="40"/>
        <v>3.5142758499000296E-2</v>
      </c>
      <c r="AE304" s="16">
        <v>1</v>
      </c>
      <c r="AF304" s="15">
        <v>0</v>
      </c>
      <c r="AG304" s="16">
        <v>0</v>
      </c>
      <c r="AH304" s="15">
        <v>1</v>
      </c>
      <c r="AI304" s="16">
        <v>0</v>
      </c>
    </row>
    <row r="305" spans="1:35">
      <c r="E305" s="17" t="s">
        <v>28</v>
      </c>
      <c r="F305" s="11">
        <v>242</v>
      </c>
      <c r="G305" s="347">
        <v>233</v>
      </c>
      <c r="H305" s="348">
        <v>258</v>
      </c>
      <c r="J305" s="350">
        <f>(9+0)/2</f>
        <v>4.5</v>
      </c>
      <c r="K305" s="349">
        <f>(11+0)/2</f>
        <v>5.5</v>
      </c>
      <c r="L305" s="347">
        <f>(11+0)/2</f>
        <v>5.5</v>
      </c>
      <c r="N305" s="351">
        <v>182</v>
      </c>
      <c r="O305" s="350">
        <v>208</v>
      </c>
      <c r="P305" s="348">
        <v>196</v>
      </c>
      <c r="R305" s="346">
        <f>(12+1)/2</f>
        <v>6.5</v>
      </c>
      <c r="S305" s="349">
        <f>(16+0)/2</f>
        <v>8</v>
      </c>
      <c r="T305" s="347">
        <f>(8+0)/2</f>
        <v>4</v>
      </c>
      <c r="W305" s="61">
        <f t="shared" si="36"/>
        <v>1.8255578093306288E-2</v>
      </c>
      <c r="X305" s="62">
        <f t="shared" si="33"/>
        <v>2.3060796645702306E-2</v>
      </c>
      <c r="Y305" s="63">
        <f t="shared" si="33"/>
        <v>2.0872865275142316E-2</v>
      </c>
      <c r="Z305" s="64">
        <f t="shared" si="39"/>
        <v>2.0729746671383636E-2</v>
      </c>
      <c r="AA305" s="62">
        <f t="shared" si="34"/>
        <v>3.4482758620689655E-2</v>
      </c>
      <c r="AB305" s="65">
        <f t="shared" si="34"/>
        <v>3.7037037037037035E-2</v>
      </c>
      <c r="AC305" s="62">
        <f t="shared" si="34"/>
        <v>0.02</v>
      </c>
      <c r="AD305" s="66">
        <f t="shared" si="40"/>
        <v>3.0506598552575565E-2</v>
      </c>
    </row>
    <row r="306" spans="1:35">
      <c r="E306" s="17" t="s">
        <v>29</v>
      </c>
      <c r="F306" s="11">
        <v>193</v>
      </c>
      <c r="G306" s="347">
        <v>256</v>
      </c>
      <c r="H306" s="348">
        <v>242</v>
      </c>
      <c r="J306" s="350">
        <f>(11+0)/2</f>
        <v>5.5</v>
      </c>
      <c r="K306" s="349">
        <f>(16+0)/2</f>
        <v>8</v>
      </c>
      <c r="L306" s="347">
        <f>(9+0)/2</f>
        <v>4.5</v>
      </c>
      <c r="N306" s="351">
        <v>357</v>
      </c>
      <c r="O306" s="350">
        <v>313</v>
      </c>
      <c r="P306" s="348">
        <v>213</v>
      </c>
      <c r="R306" s="346">
        <f>(10+1)/2</f>
        <v>5.5</v>
      </c>
      <c r="S306" s="349">
        <f>(13+1)/2</f>
        <v>7</v>
      </c>
      <c r="T306" s="347">
        <f>(6+0)/2</f>
        <v>3</v>
      </c>
      <c r="W306" s="61">
        <f t="shared" si="36"/>
        <v>2.7707808564231738E-2</v>
      </c>
      <c r="X306" s="62">
        <f t="shared" si="33"/>
        <v>3.0303030303030304E-2</v>
      </c>
      <c r="Y306" s="63">
        <f t="shared" si="33"/>
        <v>1.8255578093306288E-2</v>
      </c>
      <c r="Z306" s="64">
        <f t="shared" si="39"/>
        <v>2.5422138986856108E-2</v>
      </c>
      <c r="AA306" s="62">
        <f t="shared" si="34"/>
        <v>1.5172413793103448E-2</v>
      </c>
      <c r="AB306" s="65">
        <f t="shared" si="34"/>
        <v>2.1874999999999999E-2</v>
      </c>
      <c r="AC306" s="62">
        <f t="shared" si="34"/>
        <v>1.3888888888888888E-2</v>
      </c>
      <c r="AD306" s="66">
        <f t="shared" si="40"/>
        <v>1.6978767560664111E-2</v>
      </c>
    </row>
    <row r="307" spans="1:35" s="360" customFormat="1">
      <c r="A307" s="75"/>
      <c r="B307" s="76"/>
      <c r="C307" s="77"/>
      <c r="D307" s="77"/>
      <c r="E307" s="77" t="s">
        <v>30</v>
      </c>
      <c r="F307" s="360">
        <v>223</v>
      </c>
      <c r="G307" s="354">
        <v>214</v>
      </c>
      <c r="H307" s="355">
        <v>150</v>
      </c>
      <c r="I307" s="356"/>
      <c r="J307" s="357">
        <f>(16+0)/2</f>
        <v>8</v>
      </c>
      <c r="K307" s="356">
        <f>(11+0)/2</f>
        <v>5.5</v>
      </c>
      <c r="L307" s="354">
        <f>(7+1)/2</f>
        <v>4</v>
      </c>
      <c r="M307" s="356"/>
      <c r="N307" s="357">
        <v>399</v>
      </c>
      <c r="O307" s="357">
        <v>251</v>
      </c>
      <c r="P307" s="355">
        <v>226</v>
      </c>
      <c r="Q307" s="356"/>
      <c r="R307" s="353">
        <f>(16+0)/2</f>
        <v>8</v>
      </c>
      <c r="S307" s="356">
        <f>(17+0)/2</f>
        <v>8.5</v>
      </c>
      <c r="T307" s="354">
        <f>(17+0)/2</f>
        <v>8.5</v>
      </c>
      <c r="U307" s="359"/>
      <c r="W307" s="85">
        <f t="shared" si="36"/>
        <v>3.4632034632034632E-2</v>
      </c>
      <c r="X307" s="86">
        <f t="shared" si="33"/>
        <v>2.5056947608200455E-2</v>
      </c>
      <c r="Y307" s="87">
        <f t="shared" si="33"/>
        <v>2.5974025974025976E-2</v>
      </c>
      <c r="Z307" s="283">
        <f t="shared" si="39"/>
        <v>2.8554336071420355E-2</v>
      </c>
      <c r="AA307" s="86">
        <f t="shared" si="34"/>
        <v>1.9656019656019656E-2</v>
      </c>
      <c r="AB307" s="89">
        <f t="shared" si="34"/>
        <v>3.2755298651252408E-2</v>
      </c>
      <c r="AC307" s="86">
        <f t="shared" si="34"/>
        <v>3.6247334754797439E-2</v>
      </c>
      <c r="AD307" s="284">
        <f t="shared" si="40"/>
        <v>2.955288435402317E-2</v>
      </c>
      <c r="AE307" s="361"/>
      <c r="AF307" s="362"/>
      <c r="AG307" s="361"/>
      <c r="AH307" s="362"/>
      <c r="AI307" s="361"/>
    </row>
    <row r="308" spans="1:35">
      <c r="B308" s="154" t="s">
        <v>73</v>
      </c>
      <c r="C308" s="17" t="s">
        <v>23</v>
      </c>
      <c r="D308" s="126" t="s">
        <v>24</v>
      </c>
      <c r="E308" s="17" t="s">
        <v>25</v>
      </c>
      <c r="F308" s="369" t="s">
        <v>42</v>
      </c>
      <c r="G308" s="378" t="s">
        <v>42</v>
      </c>
      <c r="H308" s="378" t="s">
        <v>42</v>
      </c>
      <c r="J308" s="370">
        <v>0</v>
      </c>
      <c r="K308" s="379">
        <v>0</v>
      </c>
      <c r="L308" s="379">
        <v>0</v>
      </c>
      <c r="N308" s="369" t="s">
        <v>42</v>
      </c>
      <c r="O308" s="350">
        <f>(276+101+122)/3</f>
        <v>166.33333333333334</v>
      </c>
      <c r="P308" s="378" t="s">
        <v>42</v>
      </c>
      <c r="R308" s="369">
        <v>0</v>
      </c>
      <c r="S308" s="349">
        <v>2</v>
      </c>
      <c r="T308" s="369">
        <v>0</v>
      </c>
      <c r="U308" s="372" t="s">
        <v>34</v>
      </c>
      <c r="V308" s="4" t="s">
        <v>35</v>
      </c>
      <c r="W308" s="134" t="s">
        <v>43</v>
      </c>
      <c r="X308" s="134" t="s">
        <v>43</v>
      </c>
      <c r="Y308" s="134" t="s">
        <v>43</v>
      </c>
      <c r="Z308" s="64"/>
      <c r="AA308" s="134" t="s">
        <v>43</v>
      </c>
      <c r="AB308" s="65">
        <f t="shared" si="34"/>
        <v>1.1881188118811881E-2</v>
      </c>
      <c r="AC308" s="134" t="s">
        <v>43</v>
      </c>
      <c r="AD308" s="66">
        <f t="shared" si="40"/>
        <v>1.1881188118811881E-2</v>
      </c>
      <c r="AE308" s="16">
        <v>0</v>
      </c>
      <c r="AF308" s="15">
        <v>0</v>
      </c>
      <c r="AG308" s="16">
        <v>1</v>
      </c>
      <c r="AH308" s="15">
        <v>0</v>
      </c>
      <c r="AI308" s="16">
        <v>0</v>
      </c>
    </row>
    <row r="309" spans="1:35">
      <c r="E309" s="17" t="s">
        <v>28</v>
      </c>
      <c r="F309" s="370" t="s">
        <v>42</v>
      </c>
      <c r="G309" s="379" t="s">
        <v>42</v>
      </c>
      <c r="H309" s="379" t="s">
        <v>42</v>
      </c>
      <c r="J309" s="370">
        <v>0</v>
      </c>
      <c r="K309" s="379">
        <v>0</v>
      </c>
      <c r="L309" s="379">
        <v>0</v>
      </c>
      <c r="N309" s="370" t="s">
        <v>42</v>
      </c>
      <c r="O309" s="350">
        <f>(280+208+197)/3</f>
        <v>228.33333333333334</v>
      </c>
      <c r="P309" s="379" t="s">
        <v>42</v>
      </c>
      <c r="R309" s="370">
        <v>0</v>
      </c>
      <c r="S309" s="349">
        <v>0</v>
      </c>
      <c r="T309" s="370">
        <v>0</v>
      </c>
      <c r="U309" s="373"/>
      <c r="W309" s="134" t="s">
        <v>43</v>
      </c>
      <c r="X309" s="134" t="s">
        <v>43</v>
      </c>
      <c r="Y309" s="134" t="s">
        <v>43</v>
      </c>
      <c r="Z309" s="64"/>
      <c r="AA309" s="134" t="s">
        <v>43</v>
      </c>
      <c r="AB309" s="65">
        <f t="shared" si="34"/>
        <v>0</v>
      </c>
      <c r="AC309" s="134" t="s">
        <v>43</v>
      </c>
      <c r="AD309" s="66">
        <f t="shared" si="40"/>
        <v>0</v>
      </c>
    </row>
    <row r="310" spans="1:35">
      <c r="E310" s="17" t="s">
        <v>29</v>
      </c>
      <c r="F310" s="370" t="s">
        <v>42</v>
      </c>
      <c r="G310" s="379" t="s">
        <v>42</v>
      </c>
      <c r="H310" s="379" t="s">
        <v>42</v>
      </c>
      <c r="J310" s="370">
        <v>0</v>
      </c>
      <c r="K310" s="379">
        <v>0</v>
      </c>
      <c r="L310" s="379">
        <v>0</v>
      </c>
      <c r="N310" s="370" t="s">
        <v>42</v>
      </c>
      <c r="O310" s="350">
        <f>(434+313+246)/3</f>
        <v>331</v>
      </c>
      <c r="P310" s="379" t="s">
        <v>42</v>
      </c>
      <c r="R310" s="370">
        <v>0</v>
      </c>
      <c r="S310" s="349">
        <v>0</v>
      </c>
      <c r="T310" s="370">
        <v>0</v>
      </c>
      <c r="U310" s="373"/>
      <c r="W310" s="134" t="s">
        <v>43</v>
      </c>
      <c r="X310" s="134" t="s">
        <v>43</v>
      </c>
      <c r="Y310" s="134" t="s">
        <v>43</v>
      </c>
      <c r="Z310" s="64"/>
      <c r="AA310" s="134" t="s">
        <v>43</v>
      </c>
      <c r="AB310" s="65">
        <f t="shared" si="34"/>
        <v>0</v>
      </c>
      <c r="AC310" s="134" t="s">
        <v>43</v>
      </c>
      <c r="AD310" s="66">
        <f t="shared" si="40"/>
        <v>0</v>
      </c>
    </row>
    <row r="311" spans="1:35" s="360" customFormat="1">
      <c r="A311" s="75"/>
      <c r="B311" s="76"/>
      <c r="C311" s="77"/>
      <c r="D311" s="77"/>
      <c r="E311" s="77" t="s">
        <v>30</v>
      </c>
      <c r="F311" s="371" t="s">
        <v>42</v>
      </c>
      <c r="G311" s="380" t="s">
        <v>42</v>
      </c>
      <c r="H311" s="380" t="s">
        <v>42</v>
      </c>
      <c r="I311" s="356"/>
      <c r="J311" s="371">
        <v>0</v>
      </c>
      <c r="K311" s="380">
        <v>0</v>
      </c>
      <c r="L311" s="380">
        <v>0</v>
      </c>
      <c r="M311" s="356"/>
      <c r="N311" s="371" t="s">
        <v>42</v>
      </c>
      <c r="O311" s="357">
        <f>(404+251+258)/3</f>
        <v>304.33333333333331</v>
      </c>
      <c r="P311" s="380" t="s">
        <v>42</v>
      </c>
      <c r="Q311" s="356"/>
      <c r="R311" s="371">
        <v>0</v>
      </c>
      <c r="S311" s="356">
        <v>0</v>
      </c>
      <c r="T311" s="371">
        <v>0</v>
      </c>
      <c r="U311" s="374"/>
      <c r="W311" s="147" t="s">
        <v>43</v>
      </c>
      <c r="X311" s="147" t="s">
        <v>43</v>
      </c>
      <c r="Y311" s="147" t="s">
        <v>43</v>
      </c>
      <c r="Z311" s="283"/>
      <c r="AA311" s="147" t="s">
        <v>43</v>
      </c>
      <c r="AB311" s="89">
        <f t="shared" si="34"/>
        <v>0</v>
      </c>
      <c r="AC311" s="147" t="s">
        <v>43</v>
      </c>
      <c r="AD311" s="284">
        <f t="shared" si="40"/>
        <v>0</v>
      </c>
      <c r="AE311" s="361"/>
      <c r="AF311" s="362"/>
      <c r="AG311" s="361"/>
      <c r="AH311" s="362"/>
      <c r="AI311" s="361"/>
    </row>
    <row r="312" spans="1:35">
      <c r="B312" s="2">
        <v>5</v>
      </c>
      <c r="C312" s="17" t="s">
        <v>23</v>
      </c>
      <c r="D312" s="126" t="s">
        <v>24</v>
      </c>
      <c r="E312" s="17" t="s">
        <v>25</v>
      </c>
      <c r="F312" s="11">
        <f>(222+133)/2</f>
        <v>177.5</v>
      </c>
      <c r="G312" s="347">
        <f>(259+168)/2</f>
        <v>213.5</v>
      </c>
      <c r="H312" s="348">
        <f>(289+190)/2</f>
        <v>239.5</v>
      </c>
      <c r="J312" s="350">
        <v>7</v>
      </c>
      <c r="K312" s="349">
        <v>7</v>
      </c>
      <c r="L312" s="347">
        <v>14</v>
      </c>
      <c r="N312" s="350">
        <f>(243+174)/2</f>
        <v>208.5</v>
      </c>
      <c r="O312" s="350">
        <f>(101+122)/2</f>
        <v>111.5</v>
      </c>
      <c r="P312" s="348">
        <f>(305+183)/2</f>
        <v>244</v>
      </c>
      <c r="R312" s="346">
        <v>2</v>
      </c>
      <c r="S312" s="349">
        <v>5</v>
      </c>
      <c r="T312" s="347">
        <v>2</v>
      </c>
      <c r="U312" s="352" t="s">
        <v>26</v>
      </c>
      <c r="V312" s="11" t="s">
        <v>104</v>
      </c>
      <c r="W312" s="61">
        <f t="shared" si="36"/>
        <v>3.7940379403794036E-2</v>
      </c>
      <c r="X312" s="62">
        <f t="shared" si="33"/>
        <v>3.1746031746031744E-2</v>
      </c>
      <c r="Y312" s="63">
        <f t="shared" si="33"/>
        <v>5.5226824457593686E-2</v>
      </c>
      <c r="Z312" s="64">
        <f t="shared" si="39"/>
        <v>4.1637745202473153E-2</v>
      </c>
      <c r="AA312" s="62">
        <f t="shared" si="34"/>
        <v>9.5011876484560574E-3</v>
      </c>
      <c r="AB312" s="65">
        <f t="shared" si="34"/>
        <v>4.2918454935622317E-2</v>
      </c>
      <c r="AC312" s="62">
        <f t="shared" si="34"/>
        <v>8.130081300813009E-3</v>
      </c>
      <c r="AD312" s="66">
        <f t="shared" si="40"/>
        <v>2.0183241294963794E-2</v>
      </c>
      <c r="AE312" s="16">
        <v>1</v>
      </c>
      <c r="AF312" s="15">
        <v>0</v>
      </c>
      <c r="AG312" s="16">
        <v>0</v>
      </c>
      <c r="AH312" s="15">
        <v>1</v>
      </c>
      <c r="AI312" s="16">
        <v>0</v>
      </c>
    </row>
    <row r="313" spans="1:35">
      <c r="E313" s="17" t="s">
        <v>28</v>
      </c>
      <c r="F313" s="11">
        <f>(242+157)/2</f>
        <v>199.5</v>
      </c>
      <c r="G313" s="347">
        <f>(233+176)/2</f>
        <v>204.5</v>
      </c>
      <c r="H313" s="348">
        <f>(258+167)/2</f>
        <v>212.5</v>
      </c>
      <c r="J313" s="350">
        <v>3</v>
      </c>
      <c r="K313" s="349">
        <v>7</v>
      </c>
      <c r="L313" s="347">
        <v>7</v>
      </c>
      <c r="N313" s="350">
        <f>(102+210)/2</f>
        <v>156</v>
      </c>
      <c r="O313" s="350">
        <f>(200+197)/2</f>
        <v>198.5</v>
      </c>
      <c r="P313" s="348">
        <f>(196+230)/2</f>
        <v>213</v>
      </c>
      <c r="R313" s="346">
        <v>13</v>
      </c>
      <c r="S313" s="349">
        <v>10</v>
      </c>
      <c r="T313" s="347">
        <v>14</v>
      </c>
      <c r="W313" s="61">
        <f t="shared" si="36"/>
        <v>1.4814814814814815E-2</v>
      </c>
      <c r="X313" s="62">
        <f t="shared" si="33"/>
        <v>3.309692671394799E-2</v>
      </c>
      <c r="Y313" s="63">
        <f t="shared" si="33"/>
        <v>3.1890660592255128E-2</v>
      </c>
      <c r="Z313" s="64">
        <f t="shared" si="39"/>
        <v>2.6600800707005979E-2</v>
      </c>
      <c r="AA313" s="62">
        <f t="shared" si="34"/>
        <v>7.6923076923076927E-2</v>
      </c>
      <c r="AB313" s="65">
        <f t="shared" si="34"/>
        <v>4.7961630695443645E-2</v>
      </c>
      <c r="AC313" s="62">
        <f t="shared" si="34"/>
        <v>6.1674008810572688E-2</v>
      </c>
      <c r="AD313" s="66">
        <f t="shared" si="40"/>
        <v>6.2186238809697758E-2</v>
      </c>
    </row>
    <row r="314" spans="1:35">
      <c r="E314" s="17" t="s">
        <v>29</v>
      </c>
      <c r="F314" s="11">
        <f>(193+195)/2</f>
        <v>194</v>
      </c>
      <c r="G314" s="347">
        <f>(256+254)/2</f>
        <v>255</v>
      </c>
      <c r="H314" s="348">
        <f>(242+188)/2</f>
        <v>215</v>
      </c>
      <c r="J314" s="350">
        <v>12</v>
      </c>
      <c r="K314" s="349">
        <v>15</v>
      </c>
      <c r="L314" s="347">
        <v>16</v>
      </c>
      <c r="N314" s="350">
        <f>(357+308)/2</f>
        <v>332.5</v>
      </c>
      <c r="O314" s="350">
        <f>(313+246)/2</f>
        <v>279.5</v>
      </c>
      <c r="P314" s="348">
        <f>(213+170)/2</f>
        <v>191.5</v>
      </c>
      <c r="R314" s="346">
        <v>9</v>
      </c>
      <c r="S314" s="349">
        <v>10</v>
      </c>
      <c r="T314" s="347">
        <v>4</v>
      </c>
      <c r="W314" s="61">
        <f t="shared" si="36"/>
        <v>5.8252427184466021E-2</v>
      </c>
      <c r="X314" s="62">
        <f t="shared" si="33"/>
        <v>5.5555555555555552E-2</v>
      </c>
      <c r="Y314" s="63">
        <f t="shared" si="33"/>
        <v>6.9264069264069264E-2</v>
      </c>
      <c r="Z314" s="64">
        <f t="shared" si="39"/>
        <v>6.1024017334696944E-2</v>
      </c>
      <c r="AA314" s="62">
        <f t="shared" si="34"/>
        <v>2.6354319180087848E-2</v>
      </c>
      <c r="AB314" s="65">
        <f t="shared" si="34"/>
        <v>3.4542314335060449E-2</v>
      </c>
      <c r="AC314" s="62">
        <f t="shared" si="34"/>
        <v>2.0460358056265986E-2</v>
      </c>
      <c r="AD314" s="66">
        <f t="shared" si="40"/>
        <v>2.7118997190471426E-2</v>
      </c>
    </row>
    <row r="315" spans="1:35" s="360" customFormat="1">
      <c r="A315" s="75"/>
      <c r="B315" s="76"/>
      <c r="C315" s="77"/>
      <c r="D315" s="77"/>
      <c r="E315" s="77" t="s">
        <v>30</v>
      </c>
      <c r="F315" s="360">
        <f>(223+226)/2</f>
        <v>224.5</v>
      </c>
      <c r="G315" s="354">
        <f>(214+206)/2</f>
        <v>210</v>
      </c>
      <c r="H315" s="355">
        <f>(158+167)/2</f>
        <v>162.5</v>
      </c>
      <c r="I315" s="356"/>
      <c r="J315" s="357">
        <v>11</v>
      </c>
      <c r="K315" s="356">
        <v>16</v>
      </c>
      <c r="L315" s="354">
        <v>8</v>
      </c>
      <c r="M315" s="356"/>
      <c r="N315" s="357">
        <f>(399+378)/2</f>
        <v>388.5</v>
      </c>
      <c r="O315" s="357">
        <f>(251+258)/2</f>
        <v>254.5</v>
      </c>
      <c r="P315" s="355">
        <f>(226+242)/2</f>
        <v>234</v>
      </c>
      <c r="Q315" s="356"/>
      <c r="R315" s="353">
        <v>19</v>
      </c>
      <c r="S315" s="356">
        <v>9</v>
      </c>
      <c r="T315" s="354">
        <v>27</v>
      </c>
      <c r="U315" s="359"/>
      <c r="W315" s="85">
        <f t="shared" si="36"/>
        <v>4.6709129511677279E-2</v>
      </c>
      <c r="X315" s="86">
        <f t="shared" si="33"/>
        <v>7.0796460176991149E-2</v>
      </c>
      <c r="Y315" s="87">
        <f t="shared" si="33"/>
        <v>4.6920821114369501E-2</v>
      </c>
      <c r="Z315" s="283">
        <f t="shared" si="39"/>
        <v>5.4808803601012646E-2</v>
      </c>
      <c r="AA315" s="86">
        <f t="shared" si="34"/>
        <v>4.6625766871165646E-2</v>
      </c>
      <c r="AB315" s="89">
        <f t="shared" si="34"/>
        <v>3.4155597722960153E-2</v>
      </c>
      <c r="AC315" s="86">
        <f t="shared" si="34"/>
        <v>0.10344827586206896</v>
      </c>
      <c r="AD315" s="284">
        <f t="shared" si="40"/>
        <v>6.1409880152064923E-2</v>
      </c>
      <c r="AE315" s="361"/>
      <c r="AF315" s="362"/>
      <c r="AG315" s="361"/>
      <c r="AH315" s="362"/>
      <c r="AI315" s="361"/>
    </row>
    <row r="316" spans="1:35">
      <c r="B316" s="2">
        <v>19</v>
      </c>
      <c r="C316" s="17" t="s">
        <v>23</v>
      </c>
      <c r="D316" s="126" t="s">
        <v>24</v>
      </c>
      <c r="E316" s="17" t="s">
        <v>25</v>
      </c>
      <c r="F316" s="378" t="s">
        <v>42</v>
      </c>
      <c r="G316" s="347">
        <f>(322+256)/2</f>
        <v>289</v>
      </c>
      <c r="H316" s="378" t="s">
        <v>42</v>
      </c>
      <c r="J316" s="370">
        <v>0</v>
      </c>
      <c r="K316" s="349">
        <v>0</v>
      </c>
      <c r="L316" s="370">
        <v>0</v>
      </c>
      <c r="N316" s="369" t="s">
        <v>42</v>
      </c>
      <c r="O316" s="378" t="s">
        <v>42</v>
      </c>
      <c r="P316" s="348">
        <f>(401+354)/2</f>
        <v>377.5</v>
      </c>
      <c r="R316" s="369">
        <v>0</v>
      </c>
      <c r="S316" s="378">
        <v>0</v>
      </c>
      <c r="T316" s="347">
        <v>0</v>
      </c>
      <c r="U316" s="352" t="s">
        <v>34</v>
      </c>
      <c r="V316" s="4" t="s">
        <v>35</v>
      </c>
      <c r="W316" s="134" t="s">
        <v>43</v>
      </c>
      <c r="X316" s="62">
        <f t="shared" si="33"/>
        <v>0</v>
      </c>
      <c r="Y316" s="134" t="s">
        <v>43</v>
      </c>
      <c r="Z316" s="64">
        <f t="shared" si="39"/>
        <v>0</v>
      </c>
      <c r="AA316" s="134" t="s">
        <v>43</v>
      </c>
      <c r="AB316" s="134" t="s">
        <v>43</v>
      </c>
      <c r="AC316" s="62">
        <f t="shared" si="34"/>
        <v>0</v>
      </c>
      <c r="AD316" s="66">
        <f t="shared" si="40"/>
        <v>0</v>
      </c>
      <c r="AE316" s="16">
        <v>1</v>
      </c>
      <c r="AF316" s="15">
        <v>0</v>
      </c>
      <c r="AG316" s="16">
        <v>0</v>
      </c>
      <c r="AH316" s="15">
        <v>0</v>
      </c>
      <c r="AI316" s="16">
        <v>0</v>
      </c>
    </row>
    <row r="317" spans="1:35">
      <c r="E317" s="17" t="s">
        <v>28</v>
      </c>
      <c r="F317" s="379" t="s">
        <v>42</v>
      </c>
      <c r="G317" s="347">
        <f>(296+262)/2</f>
        <v>279</v>
      </c>
      <c r="H317" s="379" t="s">
        <v>42</v>
      </c>
      <c r="J317" s="370">
        <v>0</v>
      </c>
      <c r="K317" s="349">
        <v>0</v>
      </c>
      <c r="L317" s="370">
        <v>0</v>
      </c>
      <c r="N317" s="370" t="s">
        <v>42</v>
      </c>
      <c r="O317" s="379" t="s">
        <v>42</v>
      </c>
      <c r="P317" s="348">
        <f>(199+166)/2</f>
        <v>182.5</v>
      </c>
      <c r="R317" s="370">
        <v>0</v>
      </c>
      <c r="S317" s="379">
        <v>0</v>
      </c>
      <c r="T317" s="347">
        <v>0</v>
      </c>
      <c r="W317" s="134" t="s">
        <v>43</v>
      </c>
      <c r="X317" s="62">
        <f t="shared" si="33"/>
        <v>0</v>
      </c>
      <c r="Y317" s="134" t="s">
        <v>43</v>
      </c>
      <c r="Z317" s="64">
        <f t="shared" si="39"/>
        <v>0</v>
      </c>
      <c r="AA317" s="134" t="s">
        <v>43</v>
      </c>
      <c r="AB317" s="134" t="s">
        <v>43</v>
      </c>
      <c r="AC317" s="62">
        <f t="shared" si="34"/>
        <v>0</v>
      </c>
      <c r="AD317" s="66">
        <f t="shared" si="40"/>
        <v>0</v>
      </c>
    </row>
    <row r="318" spans="1:35">
      <c r="E318" s="17" t="s">
        <v>29</v>
      </c>
      <c r="F318" s="379" t="s">
        <v>42</v>
      </c>
      <c r="G318" s="347">
        <f>(320+272)/2</f>
        <v>296</v>
      </c>
      <c r="H318" s="379" t="s">
        <v>42</v>
      </c>
      <c r="J318" s="370">
        <v>0</v>
      </c>
      <c r="K318" s="349">
        <v>0</v>
      </c>
      <c r="L318" s="370">
        <v>0</v>
      </c>
      <c r="N318" s="370" t="s">
        <v>42</v>
      </c>
      <c r="O318" s="379" t="s">
        <v>42</v>
      </c>
      <c r="P318" s="348">
        <f>(404+284)/2</f>
        <v>344</v>
      </c>
      <c r="R318" s="370">
        <v>0</v>
      </c>
      <c r="S318" s="379">
        <v>0</v>
      </c>
      <c r="T318" s="347">
        <v>1</v>
      </c>
      <c r="W318" s="134" t="s">
        <v>43</v>
      </c>
      <c r="X318" s="62">
        <f t="shared" si="33"/>
        <v>0</v>
      </c>
      <c r="Y318" s="134" t="s">
        <v>43</v>
      </c>
      <c r="Z318" s="64">
        <f t="shared" si="39"/>
        <v>0</v>
      </c>
      <c r="AA318" s="134" t="s">
        <v>43</v>
      </c>
      <c r="AB318" s="134" t="s">
        <v>43</v>
      </c>
      <c r="AC318" s="62">
        <f t="shared" si="34"/>
        <v>2.8985507246376812E-3</v>
      </c>
      <c r="AD318" s="66">
        <f t="shared" si="40"/>
        <v>2.8985507246376812E-3</v>
      </c>
    </row>
    <row r="319" spans="1:35" s="360" customFormat="1">
      <c r="A319" s="75"/>
      <c r="B319" s="76"/>
      <c r="C319" s="77"/>
      <c r="D319" s="77"/>
      <c r="E319" s="77" t="s">
        <v>30</v>
      </c>
      <c r="F319" s="380" t="s">
        <v>42</v>
      </c>
      <c r="G319" s="354">
        <f>(253+258)/2</f>
        <v>255.5</v>
      </c>
      <c r="H319" s="380" t="s">
        <v>42</v>
      </c>
      <c r="I319" s="356"/>
      <c r="J319" s="371">
        <v>0</v>
      </c>
      <c r="K319" s="356">
        <v>1</v>
      </c>
      <c r="L319" s="371">
        <v>0</v>
      </c>
      <c r="M319" s="356"/>
      <c r="N319" s="371" t="s">
        <v>42</v>
      </c>
      <c r="O319" s="380" t="s">
        <v>42</v>
      </c>
      <c r="P319" s="355">
        <f>(260+226)/2</f>
        <v>243</v>
      </c>
      <c r="Q319" s="356"/>
      <c r="R319" s="371">
        <v>0</v>
      </c>
      <c r="S319" s="380">
        <v>0</v>
      </c>
      <c r="T319" s="354">
        <v>0</v>
      </c>
      <c r="U319" s="359"/>
      <c r="W319" s="147" t="s">
        <v>43</v>
      </c>
      <c r="X319" s="86">
        <f t="shared" si="33"/>
        <v>3.8986354775828458E-3</v>
      </c>
      <c r="Y319" s="147" t="s">
        <v>43</v>
      </c>
      <c r="Z319" s="283">
        <f t="shared" si="39"/>
        <v>3.8986354775828458E-3</v>
      </c>
      <c r="AA319" s="147" t="s">
        <v>43</v>
      </c>
      <c r="AB319" s="147" t="s">
        <v>43</v>
      </c>
      <c r="AC319" s="86">
        <f t="shared" si="34"/>
        <v>0</v>
      </c>
      <c r="AD319" s="284">
        <f t="shared" si="40"/>
        <v>0</v>
      </c>
      <c r="AE319" s="361"/>
      <c r="AF319" s="362"/>
      <c r="AG319" s="361"/>
      <c r="AH319" s="362"/>
      <c r="AI319" s="361"/>
    </row>
    <row r="320" spans="1:35">
      <c r="B320" s="2">
        <v>19</v>
      </c>
      <c r="C320" s="17" t="s">
        <v>102</v>
      </c>
      <c r="D320" s="126" t="s">
        <v>24</v>
      </c>
      <c r="E320" s="17" t="s">
        <v>25</v>
      </c>
      <c r="F320" s="347">
        <v>294</v>
      </c>
      <c r="G320" s="347">
        <v>322</v>
      </c>
      <c r="H320" s="348">
        <v>311</v>
      </c>
      <c r="J320" s="347">
        <f>(9+0)/2</f>
        <v>4.5</v>
      </c>
      <c r="K320" s="349">
        <f>(8+0)/2</f>
        <v>4</v>
      </c>
      <c r="L320" s="347">
        <f>(10+0)/2</f>
        <v>5</v>
      </c>
      <c r="N320" s="350">
        <v>339</v>
      </c>
      <c r="O320" s="350">
        <v>233</v>
      </c>
      <c r="P320" s="348">
        <v>401</v>
      </c>
      <c r="R320" s="347">
        <f>(8+0)/2</f>
        <v>4</v>
      </c>
      <c r="S320" s="349">
        <f>(11+0)/2</f>
        <v>5.5</v>
      </c>
      <c r="T320" s="347">
        <f>(17+0)/2</f>
        <v>8.5</v>
      </c>
      <c r="U320" s="352" t="s">
        <v>34</v>
      </c>
      <c r="V320" s="4" t="s">
        <v>35</v>
      </c>
      <c r="W320" s="61">
        <f t="shared" si="36"/>
        <v>1.507537688442211E-2</v>
      </c>
      <c r="X320" s="62">
        <f t="shared" si="33"/>
        <v>1.2269938650306749E-2</v>
      </c>
      <c r="Y320" s="63">
        <f t="shared" si="33"/>
        <v>1.5822784810126583E-2</v>
      </c>
      <c r="Z320" s="64">
        <f t="shared" si="39"/>
        <v>1.4389366781618481E-2</v>
      </c>
      <c r="AA320" s="62">
        <f t="shared" si="34"/>
        <v>1.1661807580174927E-2</v>
      </c>
      <c r="AB320" s="65">
        <f t="shared" si="34"/>
        <v>2.3060796645702306E-2</v>
      </c>
      <c r="AC320" s="62">
        <f t="shared" si="34"/>
        <v>2.0757020757020756E-2</v>
      </c>
      <c r="AD320" s="66">
        <f t="shared" si="40"/>
        <v>1.8493208327632665E-2</v>
      </c>
      <c r="AE320" s="16">
        <v>1</v>
      </c>
      <c r="AF320" s="15">
        <v>0</v>
      </c>
      <c r="AG320" s="16">
        <v>0</v>
      </c>
      <c r="AH320" s="15">
        <v>1</v>
      </c>
      <c r="AI320" s="16">
        <v>0</v>
      </c>
    </row>
    <row r="321" spans="1:35">
      <c r="E321" s="17" t="s">
        <v>28</v>
      </c>
      <c r="F321" s="347">
        <v>360</v>
      </c>
      <c r="G321" s="347">
        <v>296</v>
      </c>
      <c r="H321" s="348">
        <v>337</v>
      </c>
      <c r="J321" s="347">
        <f>(6+0)/2</f>
        <v>3</v>
      </c>
      <c r="K321" s="349">
        <f>(6+0)/2</f>
        <v>3</v>
      </c>
      <c r="L321" s="347">
        <f>(8+1)/2</f>
        <v>4.5</v>
      </c>
      <c r="N321" s="350">
        <v>167</v>
      </c>
      <c r="O321" s="350">
        <v>191</v>
      </c>
      <c r="P321" s="348">
        <v>199</v>
      </c>
      <c r="R321" s="347">
        <f>(1+0)/2</f>
        <v>0.5</v>
      </c>
      <c r="S321" s="349">
        <f>(10+0)/2</f>
        <v>5</v>
      </c>
      <c r="T321" s="347">
        <f>(7+0)/2</f>
        <v>3.5</v>
      </c>
      <c r="W321" s="61">
        <f t="shared" si="36"/>
        <v>8.2644628099173556E-3</v>
      </c>
      <c r="X321" s="62">
        <f t="shared" si="33"/>
        <v>1.0033444816053512E-2</v>
      </c>
      <c r="Y321" s="63">
        <f t="shared" si="33"/>
        <v>1.3177159590043924E-2</v>
      </c>
      <c r="Z321" s="64">
        <f t="shared" si="39"/>
        <v>1.049168907200493E-2</v>
      </c>
      <c r="AA321" s="62">
        <f t="shared" si="34"/>
        <v>2.9850746268656717E-3</v>
      </c>
      <c r="AB321" s="65">
        <f t="shared" si="34"/>
        <v>2.5510204081632654E-2</v>
      </c>
      <c r="AC321" s="62">
        <f t="shared" si="34"/>
        <v>1.7283950617283949E-2</v>
      </c>
      <c r="AD321" s="66">
        <f t="shared" si="40"/>
        <v>1.5259743108594091E-2</v>
      </c>
    </row>
    <row r="322" spans="1:35">
      <c r="E322" s="17" t="s">
        <v>29</v>
      </c>
      <c r="F322" s="347">
        <v>205</v>
      </c>
      <c r="G322" s="347">
        <v>320</v>
      </c>
      <c r="H322" s="348">
        <v>206</v>
      </c>
      <c r="J322" s="347">
        <f>(8+0)/2</f>
        <v>4</v>
      </c>
      <c r="K322" s="349">
        <f>(8+0)/2</f>
        <v>4</v>
      </c>
      <c r="L322" s="347">
        <f>(4+0)/2</f>
        <v>2</v>
      </c>
      <c r="N322" s="350">
        <v>516</v>
      </c>
      <c r="O322" s="350">
        <v>404</v>
      </c>
      <c r="P322" s="348">
        <v>404</v>
      </c>
      <c r="R322" s="347">
        <f>(15+0)/2</f>
        <v>7.5</v>
      </c>
      <c r="S322" s="349">
        <f>(9+0)/2</f>
        <v>4.5</v>
      </c>
      <c r="T322" s="347">
        <f>(8+0)/2</f>
        <v>4</v>
      </c>
      <c r="W322" s="61">
        <f t="shared" si="36"/>
        <v>1.9138755980861243E-2</v>
      </c>
      <c r="X322" s="62">
        <f t="shared" si="33"/>
        <v>1.2345679012345678E-2</v>
      </c>
      <c r="Y322" s="63">
        <f t="shared" si="33"/>
        <v>9.6153846153846159E-3</v>
      </c>
      <c r="Z322" s="64">
        <f t="shared" si="39"/>
        <v>1.3699939869530513E-2</v>
      </c>
      <c r="AA322" s="62">
        <f t="shared" si="34"/>
        <v>1.4326647564469915E-2</v>
      </c>
      <c r="AB322" s="65">
        <f t="shared" si="34"/>
        <v>1.1015911872705019E-2</v>
      </c>
      <c r="AC322" s="62">
        <f t="shared" si="34"/>
        <v>9.8039215686274508E-3</v>
      </c>
      <c r="AD322" s="66">
        <f t="shared" si="40"/>
        <v>1.1715493668600795E-2</v>
      </c>
    </row>
    <row r="323" spans="1:35" s="386" customFormat="1" ht="16.5" thickBot="1">
      <c r="A323" s="109"/>
      <c r="B323" s="110"/>
      <c r="C323" s="111"/>
      <c r="D323" s="111"/>
      <c r="E323" s="111" t="s">
        <v>30</v>
      </c>
      <c r="F323" s="399">
        <v>234</v>
      </c>
      <c r="G323" s="402">
        <v>253</v>
      </c>
      <c r="H323" s="400">
        <v>151</v>
      </c>
      <c r="I323" s="383"/>
      <c r="J323" s="399">
        <f>(7+0)/2</f>
        <v>3.5</v>
      </c>
      <c r="K323" s="383">
        <f>(8+0)/2</f>
        <v>4</v>
      </c>
      <c r="L323" s="399">
        <f>(4+0)/2</f>
        <v>2</v>
      </c>
      <c r="M323" s="383"/>
      <c r="N323" s="401">
        <v>389</v>
      </c>
      <c r="O323" s="384">
        <v>206</v>
      </c>
      <c r="P323" s="400">
        <v>260</v>
      </c>
      <c r="Q323" s="383"/>
      <c r="R323" s="399">
        <f>(12+0)/2</f>
        <v>6</v>
      </c>
      <c r="S323" s="383">
        <f>(9+1)/2</f>
        <v>5</v>
      </c>
      <c r="T323" s="399">
        <f>(8+0)/2</f>
        <v>4</v>
      </c>
      <c r="U323" s="403"/>
      <c r="W323" s="120">
        <f t="shared" si="36"/>
        <v>1.4736842105263158E-2</v>
      </c>
      <c r="X323" s="118">
        <f t="shared" si="33"/>
        <v>1.556420233463035E-2</v>
      </c>
      <c r="Y323" s="121">
        <f t="shared" si="33"/>
        <v>1.3071895424836602E-2</v>
      </c>
      <c r="Z323" s="319">
        <f t="shared" si="39"/>
        <v>1.4457646621576704E-2</v>
      </c>
      <c r="AA323" s="118">
        <f t="shared" si="34"/>
        <v>1.5189873417721518E-2</v>
      </c>
      <c r="AB323" s="112">
        <f t="shared" si="34"/>
        <v>2.3696682464454975E-2</v>
      </c>
      <c r="AC323" s="118">
        <f t="shared" si="34"/>
        <v>1.5151515151515152E-2</v>
      </c>
      <c r="AD323" s="320">
        <f t="shared" si="40"/>
        <v>1.8012690344563882E-2</v>
      </c>
      <c r="AE323" s="388"/>
      <c r="AF323" s="389"/>
      <c r="AG323" s="388"/>
      <c r="AH323" s="389"/>
      <c r="AI323" s="388"/>
    </row>
    <row r="324" spans="1:35" s="199" customFormat="1" ht="48" thickTop="1">
      <c r="A324" s="182" t="s">
        <v>105</v>
      </c>
      <c r="B324" s="2">
        <v>6</v>
      </c>
      <c r="C324" s="17" t="s">
        <v>23</v>
      </c>
      <c r="D324" s="126" t="s">
        <v>24</v>
      </c>
      <c r="E324" s="17" t="s">
        <v>50</v>
      </c>
      <c r="G324" s="331"/>
      <c r="H324" s="206"/>
      <c r="I324" s="289"/>
      <c r="J324" s="332"/>
      <c r="K324" s="289"/>
      <c r="L324" s="331"/>
      <c r="M324" s="289"/>
      <c r="N324" s="333"/>
      <c r="O324" s="332"/>
      <c r="P324" s="206"/>
      <c r="Q324" s="289"/>
      <c r="R324" s="191"/>
      <c r="S324" s="289"/>
      <c r="T324" s="331"/>
      <c r="U324" s="290" t="s">
        <v>34</v>
      </c>
      <c r="W324" s="196"/>
      <c r="X324" s="191"/>
      <c r="Y324" s="197"/>
      <c r="Z324" s="200"/>
      <c r="AA324" s="191"/>
      <c r="AC324" s="191"/>
      <c r="AD324" s="200"/>
      <c r="AE324" s="334">
        <v>0</v>
      </c>
      <c r="AF324" s="335">
        <v>0</v>
      </c>
      <c r="AG324" s="334">
        <v>1</v>
      </c>
      <c r="AH324" s="335">
        <v>0</v>
      </c>
      <c r="AI324" s="334">
        <v>1</v>
      </c>
    </row>
    <row r="325" spans="1:35" s="199" customFormat="1">
      <c r="A325" s="1"/>
      <c r="B325" s="154" t="s">
        <v>106</v>
      </c>
      <c r="C325" s="17" t="s">
        <v>23</v>
      </c>
      <c r="D325" s="126" t="s">
        <v>24</v>
      </c>
      <c r="E325" s="17" t="s">
        <v>50</v>
      </c>
      <c r="G325" s="331"/>
      <c r="H325" s="206"/>
      <c r="I325" s="289"/>
      <c r="J325" s="332"/>
      <c r="K325" s="289"/>
      <c r="L325" s="331"/>
      <c r="M325" s="289"/>
      <c r="N325" s="333"/>
      <c r="O325" s="332"/>
      <c r="P325" s="206"/>
      <c r="Q325" s="289"/>
      <c r="R325" s="191"/>
      <c r="S325" s="289"/>
      <c r="T325" s="331"/>
      <c r="U325" s="290" t="s">
        <v>34</v>
      </c>
      <c r="W325" s="196"/>
      <c r="X325" s="191"/>
      <c r="Y325" s="197"/>
      <c r="Z325" s="200"/>
      <c r="AA325" s="191"/>
      <c r="AC325" s="191"/>
      <c r="AD325" s="200"/>
      <c r="AE325" s="334">
        <v>0</v>
      </c>
      <c r="AF325" s="335">
        <v>0</v>
      </c>
      <c r="AG325" s="334">
        <v>1</v>
      </c>
      <c r="AH325" s="335">
        <v>0</v>
      </c>
      <c r="AI325" s="334">
        <v>1</v>
      </c>
    </row>
    <row r="326" spans="1:35" s="229" customFormat="1" ht="16.5" thickBot="1">
      <c r="A326" s="109"/>
      <c r="B326" s="110">
        <v>8</v>
      </c>
      <c r="C326" s="111" t="s">
        <v>23</v>
      </c>
      <c r="D326" s="213" t="s">
        <v>24</v>
      </c>
      <c r="E326" s="111" t="s">
        <v>57</v>
      </c>
      <c r="G326" s="341"/>
      <c r="H326" s="235"/>
      <c r="I326" s="292"/>
      <c r="J326" s="342"/>
      <c r="K326" s="292"/>
      <c r="L326" s="341"/>
      <c r="M326" s="292"/>
      <c r="N326" s="343"/>
      <c r="O326" s="342"/>
      <c r="P326" s="235"/>
      <c r="Q326" s="292"/>
      <c r="R326" s="221"/>
      <c r="S326" s="292"/>
      <c r="T326" s="341"/>
      <c r="U326" s="293" t="s">
        <v>34</v>
      </c>
      <c r="W326" s="226"/>
      <c r="X326" s="221"/>
      <c r="Y326" s="227"/>
      <c r="AA326" s="221"/>
      <c r="AC326" s="221"/>
      <c r="AD326" s="297"/>
      <c r="AE326" s="344">
        <v>0</v>
      </c>
      <c r="AF326" s="345">
        <v>1</v>
      </c>
      <c r="AG326" s="344">
        <v>0</v>
      </c>
      <c r="AH326" s="345">
        <v>0</v>
      </c>
      <c r="AI326" s="344">
        <v>1</v>
      </c>
    </row>
    <row r="327" spans="1:35" ht="16.5" thickTop="1">
      <c r="A327" s="1" t="s">
        <v>107</v>
      </c>
      <c r="B327" s="2">
        <v>2</v>
      </c>
      <c r="C327" s="17" t="s">
        <v>102</v>
      </c>
      <c r="D327" s="126" t="s">
        <v>24</v>
      </c>
      <c r="E327" s="17" t="s">
        <v>25</v>
      </c>
      <c r="F327" s="11">
        <v>129</v>
      </c>
      <c r="G327" s="369" t="s">
        <v>42</v>
      </c>
      <c r="H327" s="348">
        <v>192</v>
      </c>
      <c r="J327" s="350">
        <f>(1+0)/2</f>
        <v>0.5</v>
      </c>
      <c r="K327" s="370">
        <v>0</v>
      </c>
      <c r="L327" s="347">
        <v>0</v>
      </c>
      <c r="N327" s="351">
        <v>163</v>
      </c>
      <c r="O327" s="350">
        <v>112</v>
      </c>
      <c r="P327" s="369" t="s">
        <v>42</v>
      </c>
      <c r="R327" s="346">
        <f>(1+1)/2</f>
        <v>1</v>
      </c>
      <c r="S327" s="349">
        <v>0</v>
      </c>
      <c r="T327" s="369">
        <v>0</v>
      </c>
      <c r="U327" s="372" t="s">
        <v>34</v>
      </c>
      <c r="V327" s="404" t="s">
        <v>35</v>
      </c>
      <c r="W327" s="61">
        <f t="shared" ref="W327:W334" si="41">J327/(F327+J327)</f>
        <v>3.8610038610038611E-3</v>
      </c>
      <c r="X327" s="134" t="s">
        <v>43</v>
      </c>
      <c r="Y327" s="63">
        <f t="shared" ref="Y327:Y390" si="42">L327/(H327+L327)</f>
        <v>0</v>
      </c>
      <c r="Z327" s="64">
        <f t="shared" si="39"/>
        <v>1.9305019305019305E-3</v>
      </c>
      <c r="AA327" s="62">
        <f t="shared" ref="AA327:AB330" si="43">R327/(N327+R327)</f>
        <v>6.0975609756097563E-3</v>
      </c>
      <c r="AB327" s="65">
        <f t="shared" si="43"/>
        <v>0</v>
      </c>
      <c r="AC327" s="134" t="s">
        <v>43</v>
      </c>
      <c r="AD327" s="66">
        <f t="shared" si="40"/>
        <v>3.0487804878048782E-3</v>
      </c>
      <c r="AE327" s="16">
        <v>1</v>
      </c>
      <c r="AF327" s="15">
        <v>0</v>
      </c>
      <c r="AG327" s="16">
        <v>0</v>
      </c>
      <c r="AH327" s="15">
        <v>0</v>
      </c>
      <c r="AI327" s="16">
        <v>0</v>
      </c>
    </row>
    <row r="328" spans="1:35">
      <c r="E328" s="17" t="s">
        <v>28</v>
      </c>
      <c r="F328" s="11">
        <v>157</v>
      </c>
      <c r="G328" s="370" t="s">
        <v>42</v>
      </c>
      <c r="H328" s="348">
        <v>143</v>
      </c>
      <c r="J328" s="350">
        <v>0</v>
      </c>
      <c r="K328" s="370">
        <v>0</v>
      </c>
      <c r="L328" s="347">
        <v>0</v>
      </c>
      <c r="N328" s="351">
        <v>109</v>
      </c>
      <c r="O328" s="350">
        <v>105</v>
      </c>
      <c r="P328" s="370" t="s">
        <v>42</v>
      </c>
      <c r="R328" s="346">
        <v>0</v>
      </c>
      <c r="S328" s="349">
        <v>0</v>
      </c>
      <c r="T328" s="370">
        <v>0</v>
      </c>
      <c r="U328" s="373"/>
      <c r="W328" s="61">
        <f t="shared" si="41"/>
        <v>0</v>
      </c>
      <c r="X328" s="134" t="s">
        <v>43</v>
      </c>
      <c r="Y328" s="63">
        <f t="shared" si="42"/>
        <v>0</v>
      </c>
      <c r="Z328" s="64">
        <f t="shared" si="39"/>
        <v>0</v>
      </c>
      <c r="AA328" s="62">
        <f t="shared" si="43"/>
        <v>0</v>
      </c>
      <c r="AB328" s="65">
        <f t="shared" si="43"/>
        <v>0</v>
      </c>
      <c r="AC328" s="134" t="s">
        <v>43</v>
      </c>
      <c r="AD328" s="66">
        <f t="shared" si="40"/>
        <v>0</v>
      </c>
    </row>
    <row r="329" spans="1:35">
      <c r="E329" s="17" t="s">
        <v>29</v>
      </c>
      <c r="F329" s="11">
        <v>89</v>
      </c>
      <c r="G329" s="370" t="s">
        <v>42</v>
      </c>
      <c r="H329" s="348">
        <v>107</v>
      </c>
      <c r="J329" s="350">
        <v>0</v>
      </c>
      <c r="K329" s="370">
        <v>0</v>
      </c>
      <c r="L329" s="347">
        <f>(0+1)/2</f>
        <v>0.5</v>
      </c>
      <c r="N329" s="351">
        <v>222</v>
      </c>
      <c r="O329" s="350">
        <v>208</v>
      </c>
      <c r="P329" s="370" t="s">
        <v>42</v>
      </c>
      <c r="R329" s="346">
        <v>0</v>
      </c>
      <c r="S329" s="349">
        <f>(2+0)/2</f>
        <v>1</v>
      </c>
      <c r="T329" s="370">
        <v>0</v>
      </c>
      <c r="U329" s="373"/>
      <c r="W329" s="61">
        <f t="shared" si="41"/>
        <v>0</v>
      </c>
      <c r="X329" s="134" t="s">
        <v>43</v>
      </c>
      <c r="Y329" s="63">
        <f t="shared" si="42"/>
        <v>4.6511627906976744E-3</v>
      </c>
      <c r="Z329" s="64">
        <f t="shared" si="39"/>
        <v>2.3255813953488372E-3</v>
      </c>
      <c r="AA329" s="62">
        <f t="shared" si="43"/>
        <v>0</v>
      </c>
      <c r="AB329" s="65">
        <f t="shared" si="43"/>
        <v>4.7846889952153108E-3</v>
      </c>
      <c r="AC329" s="134" t="s">
        <v>43</v>
      </c>
      <c r="AD329" s="66">
        <f t="shared" si="40"/>
        <v>2.3923444976076554E-3</v>
      </c>
    </row>
    <row r="330" spans="1:35" s="360" customFormat="1">
      <c r="A330" s="75"/>
      <c r="B330" s="76"/>
      <c r="C330" s="77"/>
      <c r="D330" s="77"/>
      <c r="E330" s="77" t="s">
        <v>30</v>
      </c>
      <c r="F330" s="360">
        <v>127</v>
      </c>
      <c r="G330" s="371" t="s">
        <v>42</v>
      </c>
      <c r="H330" s="355">
        <v>93</v>
      </c>
      <c r="I330" s="356"/>
      <c r="J330" s="357">
        <v>0</v>
      </c>
      <c r="K330" s="371">
        <v>0</v>
      </c>
      <c r="L330" s="354">
        <v>0</v>
      </c>
      <c r="M330" s="356"/>
      <c r="N330" s="358">
        <v>189</v>
      </c>
      <c r="O330" s="357">
        <v>136</v>
      </c>
      <c r="P330" s="371" t="s">
        <v>42</v>
      </c>
      <c r="Q330" s="356"/>
      <c r="R330" s="353">
        <v>0</v>
      </c>
      <c r="S330" s="356">
        <v>0</v>
      </c>
      <c r="T330" s="371">
        <v>0</v>
      </c>
      <c r="U330" s="374"/>
      <c r="W330" s="85">
        <f t="shared" si="41"/>
        <v>0</v>
      </c>
      <c r="X330" s="147" t="s">
        <v>43</v>
      </c>
      <c r="Y330" s="87">
        <f t="shared" si="42"/>
        <v>0</v>
      </c>
      <c r="Z330" s="283">
        <f t="shared" si="39"/>
        <v>0</v>
      </c>
      <c r="AA330" s="86">
        <f t="shared" si="43"/>
        <v>0</v>
      </c>
      <c r="AB330" s="89">
        <f t="shared" si="43"/>
        <v>0</v>
      </c>
      <c r="AC330" s="147" t="s">
        <v>43</v>
      </c>
      <c r="AD330" s="284">
        <f t="shared" si="40"/>
        <v>0</v>
      </c>
      <c r="AE330" s="361"/>
      <c r="AF330" s="362"/>
      <c r="AG330" s="361"/>
      <c r="AH330" s="362"/>
      <c r="AI330" s="361"/>
    </row>
    <row r="331" spans="1:35">
      <c r="B331" s="2">
        <v>7</v>
      </c>
      <c r="C331" s="17" t="s">
        <v>23</v>
      </c>
      <c r="D331" s="126" t="s">
        <v>24</v>
      </c>
      <c r="E331" s="17" t="s">
        <v>25</v>
      </c>
      <c r="F331" s="11">
        <f>(8+20)/2</f>
        <v>14</v>
      </c>
      <c r="G331" s="369" t="s">
        <v>42</v>
      </c>
      <c r="H331" s="369" t="s">
        <v>42</v>
      </c>
      <c r="J331" s="350">
        <v>0</v>
      </c>
      <c r="K331" s="370">
        <v>0</v>
      </c>
      <c r="L331" s="370">
        <v>0</v>
      </c>
      <c r="N331" s="369" t="s">
        <v>42</v>
      </c>
      <c r="O331" s="350">
        <f>(7+29)/2</f>
        <v>18</v>
      </c>
      <c r="P331" s="369" t="s">
        <v>42</v>
      </c>
      <c r="R331" s="369">
        <v>0</v>
      </c>
      <c r="S331" s="349">
        <v>0</v>
      </c>
      <c r="T331" s="369">
        <v>0</v>
      </c>
      <c r="U331" s="372" t="s">
        <v>34</v>
      </c>
      <c r="V331" s="404" t="s">
        <v>35</v>
      </c>
      <c r="W331" s="61">
        <f t="shared" si="41"/>
        <v>0</v>
      </c>
      <c r="X331" s="134" t="s">
        <v>43</v>
      </c>
      <c r="Y331" s="134" t="s">
        <v>43</v>
      </c>
      <c r="Z331" s="64">
        <f t="shared" si="39"/>
        <v>0</v>
      </c>
      <c r="AA331" s="134" t="s">
        <v>43</v>
      </c>
      <c r="AB331" s="65">
        <f>S331/(O331+S331)</f>
        <v>0</v>
      </c>
      <c r="AC331" s="134" t="s">
        <v>43</v>
      </c>
      <c r="AD331" s="66">
        <f t="shared" si="40"/>
        <v>0</v>
      </c>
      <c r="AE331" s="16">
        <v>1</v>
      </c>
      <c r="AF331" s="15">
        <v>0</v>
      </c>
      <c r="AG331" s="16">
        <v>0</v>
      </c>
      <c r="AH331" s="15">
        <v>0</v>
      </c>
      <c r="AI331" s="16">
        <v>0</v>
      </c>
    </row>
    <row r="332" spans="1:35">
      <c r="E332" s="17" t="s">
        <v>28</v>
      </c>
      <c r="F332" s="11">
        <f>(18+43)/2</f>
        <v>30.5</v>
      </c>
      <c r="G332" s="370" t="s">
        <v>42</v>
      </c>
      <c r="H332" s="370" t="s">
        <v>42</v>
      </c>
      <c r="J332" s="350">
        <v>0</v>
      </c>
      <c r="K332" s="370">
        <v>0</v>
      </c>
      <c r="L332" s="370">
        <v>0</v>
      </c>
      <c r="N332" s="370" t="s">
        <v>42</v>
      </c>
      <c r="O332" s="350">
        <f>(32+27)/2</f>
        <v>29.5</v>
      </c>
      <c r="P332" s="370" t="s">
        <v>42</v>
      </c>
      <c r="R332" s="370">
        <v>0</v>
      </c>
      <c r="S332" s="349">
        <v>0</v>
      </c>
      <c r="T332" s="370">
        <v>0</v>
      </c>
      <c r="U332" s="373"/>
      <c r="W332" s="61">
        <f t="shared" si="41"/>
        <v>0</v>
      </c>
      <c r="X332" s="134" t="s">
        <v>43</v>
      </c>
      <c r="Y332" s="134" t="s">
        <v>43</v>
      </c>
      <c r="Z332" s="64">
        <f t="shared" si="39"/>
        <v>0</v>
      </c>
      <c r="AA332" s="134" t="s">
        <v>43</v>
      </c>
      <c r="AB332" s="65">
        <f>S332/(O332+S332)</f>
        <v>0</v>
      </c>
      <c r="AC332" s="134" t="s">
        <v>43</v>
      </c>
      <c r="AD332" s="66">
        <f t="shared" si="40"/>
        <v>0</v>
      </c>
    </row>
    <row r="333" spans="1:35">
      <c r="E333" s="17" t="s">
        <v>29</v>
      </c>
      <c r="F333" s="11">
        <f>(23+32)/2</f>
        <v>27.5</v>
      </c>
      <c r="G333" s="370" t="s">
        <v>42</v>
      </c>
      <c r="H333" s="370" t="s">
        <v>42</v>
      </c>
      <c r="J333" s="350">
        <v>0</v>
      </c>
      <c r="K333" s="370">
        <v>0</v>
      </c>
      <c r="L333" s="370">
        <v>0</v>
      </c>
      <c r="N333" s="370" t="s">
        <v>42</v>
      </c>
      <c r="O333" s="350">
        <f>(18+35)/2</f>
        <v>26.5</v>
      </c>
      <c r="P333" s="370" t="s">
        <v>42</v>
      </c>
      <c r="R333" s="370">
        <v>0</v>
      </c>
      <c r="S333" s="349">
        <v>0</v>
      </c>
      <c r="T333" s="370">
        <v>0</v>
      </c>
      <c r="U333" s="373"/>
      <c r="W333" s="61">
        <f t="shared" si="41"/>
        <v>0</v>
      </c>
      <c r="X333" s="134" t="s">
        <v>43</v>
      </c>
      <c r="Y333" s="134" t="s">
        <v>43</v>
      </c>
      <c r="Z333" s="64">
        <f t="shared" si="39"/>
        <v>0</v>
      </c>
      <c r="AA333" s="134" t="s">
        <v>43</v>
      </c>
      <c r="AB333" s="65">
        <f>S333/(O333+S333)</f>
        <v>0</v>
      </c>
      <c r="AC333" s="134" t="s">
        <v>43</v>
      </c>
      <c r="AD333" s="66">
        <f t="shared" si="40"/>
        <v>0</v>
      </c>
    </row>
    <row r="334" spans="1:35" s="360" customFormat="1">
      <c r="A334" s="75"/>
      <c r="B334" s="76"/>
      <c r="C334" s="77"/>
      <c r="D334" s="77"/>
      <c r="E334" s="77" t="s">
        <v>30</v>
      </c>
      <c r="F334" s="360">
        <f>(38+30)/2</f>
        <v>34</v>
      </c>
      <c r="G334" s="371" t="s">
        <v>42</v>
      </c>
      <c r="H334" s="371" t="s">
        <v>42</v>
      </c>
      <c r="I334" s="356"/>
      <c r="J334" s="357">
        <v>1</v>
      </c>
      <c r="K334" s="371">
        <v>0</v>
      </c>
      <c r="L334" s="371">
        <v>0</v>
      </c>
      <c r="M334" s="356"/>
      <c r="N334" s="371" t="s">
        <v>42</v>
      </c>
      <c r="O334" s="357">
        <f>(38+39)/2</f>
        <v>38.5</v>
      </c>
      <c r="P334" s="371" t="s">
        <v>42</v>
      </c>
      <c r="Q334" s="356"/>
      <c r="R334" s="371">
        <v>0</v>
      </c>
      <c r="S334" s="356">
        <v>1</v>
      </c>
      <c r="T334" s="371">
        <v>0</v>
      </c>
      <c r="U334" s="374"/>
      <c r="W334" s="85">
        <f t="shared" si="41"/>
        <v>2.8571428571428571E-2</v>
      </c>
      <c r="X334" s="147" t="s">
        <v>43</v>
      </c>
      <c r="Y334" s="147" t="s">
        <v>43</v>
      </c>
      <c r="Z334" s="285">
        <f t="shared" si="39"/>
        <v>2.8571428571428571E-2</v>
      </c>
      <c r="AA334" s="147" t="s">
        <v>43</v>
      </c>
      <c r="AB334" s="89">
        <f>S334/(O334+S334)</f>
        <v>2.5316455696202531E-2</v>
      </c>
      <c r="AC334" s="147" t="s">
        <v>43</v>
      </c>
      <c r="AD334" s="284">
        <f t="shared" si="40"/>
        <v>2.5316455696202531E-2</v>
      </c>
      <c r="AE334" s="361"/>
      <c r="AF334" s="362"/>
      <c r="AG334" s="361"/>
      <c r="AH334" s="362"/>
      <c r="AI334" s="361"/>
    </row>
    <row r="335" spans="1:35">
      <c r="B335" s="2">
        <v>10</v>
      </c>
      <c r="C335" s="17" t="s">
        <v>31</v>
      </c>
      <c r="D335" s="17" t="s">
        <v>32</v>
      </c>
      <c r="E335" s="17" t="s">
        <v>25</v>
      </c>
      <c r="F335" s="369" t="s">
        <v>42</v>
      </c>
      <c r="G335" s="369" t="s">
        <v>42</v>
      </c>
      <c r="H335" s="346">
        <v>85</v>
      </c>
      <c r="J335" s="370">
        <v>0</v>
      </c>
      <c r="K335" s="370">
        <v>0</v>
      </c>
      <c r="L335" s="350">
        <v>0</v>
      </c>
      <c r="N335" s="369" t="s">
        <v>42</v>
      </c>
      <c r="O335" s="369" t="s">
        <v>42</v>
      </c>
      <c r="P335" s="348">
        <v>116</v>
      </c>
      <c r="R335" s="369">
        <v>0</v>
      </c>
      <c r="S335" s="369">
        <v>0</v>
      </c>
      <c r="T335" s="347">
        <v>2</v>
      </c>
      <c r="U335" s="352" t="s">
        <v>34</v>
      </c>
      <c r="V335" s="404" t="s">
        <v>35</v>
      </c>
      <c r="W335" s="134" t="s">
        <v>43</v>
      </c>
      <c r="X335" s="134" t="s">
        <v>43</v>
      </c>
      <c r="Y335" s="63">
        <f t="shared" si="42"/>
        <v>0</v>
      </c>
      <c r="Z335" s="64">
        <f t="shared" si="39"/>
        <v>0</v>
      </c>
      <c r="AA335" s="134" t="s">
        <v>43</v>
      </c>
      <c r="AB335" s="134" t="s">
        <v>43</v>
      </c>
      <c r="AC335" s="62">
        <f t="shared" ref="AC335:AC395" si="44">T335/(P335+T335)</f>
        <v>1.6949152542372881E-2</v>
      </c>
      <c r="AD335" s="66">
        <f t="shared" si="40"/>
        <v>1.6949152542372881E-2</v>
      </c>
      <c r="AE335" s="16">
        <v>1</v>
      </c>
      <c r="AF335" s="15">
        <v>0</v>
      </c>
      <c r="AG335" s="16">
        <v>0</v>
      </c>
      <c r="AH335" s="15">
        <v>0</v>
      </c>
      <c r="AI335" s="16">
        <v>0</v>
      </c>
    </row>
    <row r="336" spans="1:35">
      <c r="E336" s="17" t="s">
        <v>28</v>
      </c>
      <c r="F336" s="370" t="s">
        <v>42</v>
      </c>
      <c r="G336" s="370" t="s">
        <v>42</v>
      </c>
      <c r="H336" s="346">
        <v>107</v>
      </c>
      <c r="J336" s="370">
        <v>0</v>
      </c>
      <c r="K336" s="370">
        <v>0</v>
      </c>
      <c r="L336" s="350">
        <v>0</v>
      </c>
      <c r="N336" s="370" t="s">
        <v>42</v>
      </c>
      <c r="O336" s="370" t="s">
        <v>42</v>
      </c>
      <c r="P336" s="348">
        <v>64</v>
      </c>
      <c r="R336" s="370">
        <v>0</v>
      </c>
      <c r="S336" s="370">
        <v>0</v>
      </c>
      <c r="T336" s="347">
        <v>0</v>
      </c>
      <c r="W336" s="134" t="s">
        <v>43</v>
      </c>
      <c r="X336" s="134" t="s">
        <v>43</v>
      </c>
      <c r="Y336" s="63">
        <f t="shared" si="42"/>
        <v>0</v>
      </c>
      <c r="Z336" s="64">
        <f t="shared" si="39"/>
        <v>0</v>
      </c>
      <c r="AA336" s="134" t="s">
        <v>43</v>
      </c>
      <c r="AB336" s="134" t="s">
        <v>43</v>
      </c>
      <c r="AC336" s="62">
        <f t="shared" si="44"/>
        <v>0</v>
      </c>
      <c r="AD336" s="66">
        <f t="shared" si="40"/>
        <v>0</v>
      </c>
    </row>
    <row r="337" spans="1:35">
      <c r="E337" s="17" t="s">
        <v>29</v>
      </c>
      <c r="F337" s="370" t="s">
        <v>42</v>
      </c>
      <c r="G337" s="370" t="s">
        <v>42</v>
      </c>
      <c r="H337" s="346">
        <v>88</v>
      </c>
      <c r="J337" s="370">
        <v>0</v>
      </c>
      <c r="K337" s="370">
        <v>0</v>
      </c>
      <c r="L337" s="350">
        <v>1</v>
      </c>
      <c r="N337" s="370" t="s">
        <v>42</v>
      </c>
      <c r="O337" s="370" t="s">
        <v>42</v>
      </c>
      <c r="P337" s="348">
        <v>98</v>
      </c>
      <c r="R337" s="370">
        <v>0</v>
      </c>
      <c r="S337" s="370">
        <v>0</v>
      </c>
      <c r="T337" s="347">
        <v>0</v>
      </c>
      <c r="W337" s="134" t="s">
        <v>43</v>
      </c>
      <c r="X337" s="134" t="s">
        <v>43</v>
      </c>
      <c r="Y337" s="63">
        <f t="shared" si="42"/>
        <v>1.1235955056179775E-2</v>
      </c>
      <c r="Z337" s="64">
        <f t="shared" si="39"/>
        <v>1.1235955056179775E-2</v>
      </c>
      <c r="AA337" s="134" t="s">
        <v>43</v>
      </c>
      <c r="AB337" s="134" t="s">
        <v>43</v>
      </c>
      <c r="AC337" s="62">
        <f t="shared" si="44"/>
        <v>0</v>
      </c>
      <c r="AD337" s="66">
        <f t="shared" si="40"/>
        <v>0</v>
      </c>
    </row>
    <row r="338" spans="1:35" s="360" customFormat="1">
      <c r="A338" s="75"/>
      <c r="B338" s="76"/>
      <c r="C338" s="77"/>
      <c r="D338" s="77"/>
      <c r="E338" s="77" t="s">
        <v>30</v>
      </c>
      <c r="F338" s="371" t="s">
        <v>42</v>
      </c>
      <c r="G338" s="371" t="s">
        <v>42</v>
      </c>
      <c r="H338" s="353">
        <v>40</v>
      </c>
      <c r="I338" s="356"/>
      <c r="J338" s="371">
        <v>0</v>
      </c>
      <c r="K338" s="371">
        <v>0</v>
      </c>
      <c r="L338" s="357">
        <v>0</v>
      </c>
      <c r="M338" s="356"/>
      <c r="N338" s="371" t="s">
        <v>42</v>
      </c>
      <c r="O338" s="371" t="s">
        <v>42</v>
      </c>
      <c r="P338" s="355">
        <v>89</v>
      </c>
      <c r="Q338" s="356"/>
      <c r="R338" s="371">
        <v>0</v>
      </c>
      <c r="S338" s="371">
        <v>0</v>
      </c>
      <c r="T338" s="354">
        <v>0</v>
      </c>
      <c r="U338" s="359"/>
      <c r="W338" s="147" t="s">
        <v>43</v>
      </c>
      <c r="X338" s="147" t="s">
        <v>43</v>
      </c>
      <c r="Y338" s="86">
        <f t="shared" si="42"/>
        <v>0</v>
      </c>
      <c r="Z338" s="285">
        <f t="shared" si="39"/>
        <v>0</v>
      </c>
      <c r="AA338" s="147" t="s">
        <v>43</v>
      </c>
      <c r="AB338" s="147" t="s">
        <v>43</v>
      </c>
      <c r="AC338" s="86">
        <f t="shared" si="44"/>
        <v>0</v>
      </c>
      <c r="AD338" s="405">
        <f t="shared" si="40"/>
        <v>0</v>
      </c>
      <c r="AE338" s="361"/>
      <c r="AF338" s="362"/>
      <c r="AG338" s="361"/>
      <c r="AH338" s="362"/>
      <c r="AI338" s="361"/>
    </row>
    <row r="339" spans="1:35" s="199" customFormat="1" ht="47.25">
      <c r="A339" s="182" t="s">
        <v>108</v>
      </c>
      <c r="B339" s="2">
        <v>1</v>
      </c>
      <c r="C339" s="17" t="s">
        <v>31</v>
      </c>
      <c r="D339" s="17" t="s">
        <v>32</v>
      </c>
      <c r="E339" s="17" t="s">
        <v>50</v>
      </c>
      <c r="G339" s="331"/>
      <c r="H339" s="206"/>
      <c r="I339" s="289"/>
      <c r="J339" s="332"/>
      <c r="K339" s="289"/>
      <c r="L339" s="331"/>
      <c r="M339" s="289"/>
      <c r="N339" s="333"/>
      <c r="O339" s="332"/>
      <c r="P339" s="206"/>
      <c r="Q339" s="289"/>
      <c r="R339" s="191"/>
      <c r="S339" s="289"/>
      <c r="T339" s="331"/>
      <c r="U339" s="290" t="s">
        <v>34</v>
      </c>
      <c r="W339" s="196"/>
      <c r="X339" s="268"/>
      <c r="Y339" s="269"/>
      <c r="Z339" s="406"/>
      <c r="AA339" s="268"/>
      <c r="AB339" s="271"/>
      <c r="AC339" s="268"/>
      <c r="AD339" s="272"/>
      <c r="AE339" s="334">
        <v>0</v>
      </c>
      <c r="AF339" s="335">
        <v>0</v>
      </c>
      <c r="AG339" s="334">
        <v>1</v>
      </c>
      <c r="AH339" s="335">
        <v>0</v>
      </c>
      <c r="AI339" s="334">
        <v>1</v>
      </c>
    </row>
    <row r="340" spans="1:35" s="199" customFormat="1">
      <c r="A340" s="1"/>
      <c r="B340" s="2">
        <v>2</v>
      </c>
      <c r="C340" s="17" t="s">
        <v>23</v>
      </c>
      <c r="D340" s="126" t="s">
        <v>24</v>
      </c>
      <c r="E340" s="17" t="s">
        <v>51</v>
      </c>
      <c r="G340" s="331"/>
      <c r="H340" s="206"/>
      <c r="I340" s="289"/>
      <c r="J340" s="332"/>
      <c r="K340" s="289"/>
      <c r="L340" s="331"/>
      <c r="M340" s="289"/>
      <c r="N340" s="333"/>
      <c r="O340" s="332"/>
      <c r="P340" s="206"/>
      <c r="Q340" s="289"/>
      <c r="R340" s="191"/>
      <c r="S340" s="289"/>
      <c r="T340" s="331"/>
      <c r="U340" s="290" t="s">
        <v>34</v>
      </c>
      <c r="W340" s="196"/>
      <c r="X340" s="191"/>
      <c r="Y340" s="197"/>
      <c r="Z340" s="200"/>
      <c r="AA340" s="191"/>
      <c r="AC340" s="191"/>
      <c r="AD340" s="337"/>
      <c r="AE340" s="334">
        <v>0</v>
      </c>
      <c r="AF340" s="335">
        <v>1</v>
      </c>
      <c r="AG340" s="334">
        <v>0</v>
      </c>
      <c r="AH340" s="335">
        <v>0</v>
      </c>
      <c r="AI340" s="334">
        <v>1</v>
      </c>
    </row>
    <row r="341" spans="1:35" s="229" customFormat="1" ht="16.5" thickBot="1">
      <c r="A341" s="109"/>
      <c r="B341" s="407" t="s">
        <v>109</v>
      </c>
      <c r="C341" s="111" t="s">
        <v>23</v>
      </c>
      <c r="D341" s="213" t="s">
        <v>24</v>
      </c>
      <c r="E341" s="111" t="s">
        <v>53</v>
      </c>
      <c r="G341" s="341"/>
      <c r="H341" s="235"/>
      <c r="I341" s="292"/>
      <c r="J341" s="342"/>
      <c r="K341" s="292"/>
      <c r="L341" s="341"/>
      <c r="M341" s="292"/>
      <c r="N341" s="343"/>
      <c r="O341" s="342"/>
      <c r="P341" s="235"/>
      <c r="Q341" s="292"/>
      <c r="R341" s="221"/>
      <c r="S341" s="292"/>
      <c r="T341" s="341"/>
      <c r="U341" s="293" t="s">
        <v>34</v>
      </c>
      <c r="W341" s="226"/>
      <c r="X341" s="221"/>
      <c r="Y341" s="227"/>
      <c r="Z341" s="376"/>
      <c r="AA341" s="221"/>
      <c r="AC341" s="221"/>
      <c r="AD341" s="295"/>
      <c r="AE341" s="344">
        <v>0</v>
      </c>
      <c r="AF341" s="345">
        <v>1</v>
      </c>
      <c r="AG341" s="344">
        <v>0</v>
      </c>
      <c r="AH341" s="345">
        <v>0</v>
      </c>
      <c r="AI341" s="344">
        <v>1</v>
      </c>
    </row>
    <row r="342" spans="1:35" ht="16.5" thickTop="1">
      <c r="A342" s="1" t="s">
        <v>110</v>
      </c>
      <c r="B342" s="2">
        <v>2</v>
      </c>
      <c r="C342" s="17" t="s">
        <v>23</v>
      </c>
      <c r="D342" s="17" t="s">
        <v>24</v>
      </c>
      <c r="E342" s="17" t="s">
        <v>25</v>
      </c>
      <c r="F342" s="11">
        <f>(22+14)/2</f>
        <v>18</v>
      </c>
      <c r="G342" s="369" t="s">
        <v>42</v>
      </c>
      <c r="H342" s="369" t="s">
        <v>42</v>
      </c>
      <c r="J342" s="350">
        <v>0</v>
      </c>
      <c r="K342" s="370">
        <v>0</v>
      </c>
      <c r="L342" s="379">
        <v>0</v>
      </c>
      <c r="N342" s="351">
        <f>(5+20)/2</f>
        <v>12.5</v>
      </c>
      <c r="O342" s="369" t="s">
        <v>42</v>
      </c>
      <c r="P342" s="378" t="s">
        <v>42</v>
      </c>
      <c r="R342" s="346">
        <v>0</v>
      </c>
      <c r="S342" s="369">
        <v>0</v>
      </c>
      <c r="T342" s="378">
        <v>0</v>
      </c>
      <c r="U342" s="372" t="s">
        <v>34</v>
      </c>
      <c r="V342" s="404" t="s">
        <v>35</v>
      </c>
      <c r="W342" s="61">
        <f>J342/(F342+J342)</f>
        <v>0</v>
      </c>
      <c r="X342" s="134" t="s">
        <v>43</v>
      </c>
      <c r="Y342" s="134" t="s">
        <v>43</v>
      </c>
      <c r="Z342" s="64">
        <f t="shared" si="39"/>
        <v>0</v>
      </c>
      <c r="AA342" s="62">
        <f>R342/(N342+R342)</f>
        <v>0</v>
      </c>
      <c r="AB342" s="134" t="s">
        <v>43</v>
      </c>
      <c r="AC342" s="134" t="s">
        <v>43</v>
      </c>
      <c r="AD342" s="66">
        <f t="shared" si="40"/>
        <v>0</v>
      </c>
      <c r="AE342" s="16">
        <v>1</v>
      </c>
      <c r="AF342" s="15">
        <v>0</v>
      </c>
      <c r="AG342" s="16">
        <v>0</v>
      </c>
      <c r="AH342" s="15">
        <v>0</v>
      </c>
      <c r="AI342" s="16">
        <v>0</v>
      </c>
    </row>
    <row r="343" spans="1:35">
      <c r="E343" s="17" t="s">
        <v>28</v>
      </c>
      <c r="F343" s="11">
        <f>(23+12)/2</f>
        <v>17.5</v>
      </c>
      <c r="G343" s="370" t="s">
        <v>42</v>
      </c>
      <c r="H343" s="370" t="s">
        <v>42</v>
      </c>
      <c r="J343" s="350">
        <v>0</v>
      </c>
      <c r="K343" s="370">
        <v>0</v>
      </c>
      <c r="L343" s="379">
        <v>0</v>
      </c>
      <c r="N343" s="351">
        <f>(22+60)/2</f>
        <v>41</v>
      </c>
      <c r="O343" s="370" t="s">
        <v>42</v>
      </c>
      <c r="P343" s="379" t="s">
        <v>42</v>
      </c>
      <c r="R343" s="346">
        <v>0</v>
      </c>
      <c r="S343" s="370">
        <v>0</v>
      </c>
      <c r="T343" s="379">
        <v>0</v>
      </c>
      <c r="U343" s="373"/>
      <c r="W343" s="61">
        <f>J343/(F343+J343)</f>
        <v>0</v>
      </c>
      <c r="X343" s="134" t="s">
        <v>43</v>
      </c>
      <c r="Y343" s="134" t="s">
        <v>43</v>
      </c>
      <c r="Z343" s="64">
        <f t="shared" si="39"/>
        <v>0</v>
      </c>
      <c r="AA343" s="62">
        <f>R343/(N343+R343)</f>
        <v>0</v>
      </c>
      <c r="AB343" s="134" t="s">
        <v>43</v>
      </c>
      <c r="AC343" s="134" t="s">
        <v>43</v>
      </c>
      <c r="AD343" s="66">
        <f t="shared" si="40"/>
        <v>0</v>
      </c>
    </row>
    <row r="344" spans="1:35">
      <c r="E344" s="17" t="s">
        <v>29</v>
      </c>
      <c r="F344" s="11">
        <f>(41+23)/2</f>
        <v>32</v>
      </c>
      <c r="G344" s="370" t="s">
        <v>42</v>
      </c>
      <c r="H344" s="370" t="s">
        <v>42</v>
      </c>
      <c r="J344" s="350">
        <v>1</v>
      </c>
      <c r="K344" s="370">
        <v>0</v>
      </c>
      <c r="L344" s="379">
        <v>0</v>
      </c>
      <c r="N344" s="351">
        <f>(15+41)/2</f>
        <v>28</v>
      </c>
      <c r="O344" s="370" t="s">
        <v>42</v>
      </c>
      <c r="P344" s="379" t="s">
        <v>42</v>
      </c>
      <c r="R344" s="346">
        <v>1</v>
      </c>
      <c r="S344" s="370">
        <v>0</v>
      </c>
      <c r="T344" s="379">
        <v>0</v>
      </c>
      <c r="U344" s="373"/>
      <c r="W344" s="61">
        <f>J344/(F344+J344)</f>
        <v>3.0303030303030304E-2</v>
      </c>
      <c r="X344" s="134" t="s">
        <v>43</v>
      </c>
      <c r="Y344" s="134" t="s">
        <v>43</v>
      </c>
      <c r="Z344" s="64">
        <f t="shared" si="39"/>
        <v>3.0303030303030304E-2</v>
      </c>
      <c r="AA344" s="62">
        <f>R344/(N344+R344)</f>
        <v>3.4482758620689655E-2</v>
      </c>
      <c r="AB344" s="134" t="s">
        <v>43</v>
      </c>
      <c r="AC344" s="134" t="s">
        <v>43</v>
      </c>
      <c r="AD344" s="66">
        <f t="shared" si="40"/>
        <v>3.4482758620689655E-2</v>
      </c>
    </row>
    <row r="345" spans="1:35" s="360" customFormat="1">
      <c r="A345" s="75"/>
      <c r="B345" s="76"/>
      <c r="C345" s="77"/>
      <c r="D345" s="77"/>
      <c r="E345" s="77" t="s">
        <v>30</v>
      </c>
      <c r="F345" s="360">
        <f>(63+20)/2</f>
        <v>41.5</v>
      </c>
      <c r="G345" s="371" t="s">
        <v>42</v>
      </c>
      <c r="H345" s="371" t="s">
        <v>42</v>
      </c>
      <c r="I345" s="356"/>
      <c r="J345" s="357">
        <v>0</v>
      </c>
      <c r="K345" s="371">
        <v>0</v>
      </c>
      <c r="L345" s="380">
        <v>0</v>
      </c>
      <c r="M345" s="356"/>
      <c r="N345" s="358">
        <f>(22+58)/2</f>
        <v>40</v>
      </c>
      <c r="O345" s="371" t="s">
        <v>42</v>
      </c>
      <c r="P345" s="380" t="s">
        <v>42</v>
      </c>
      <c r="Q345" s="356"/>
      <c r="R345" s="353">
        <v>0</v>
      </c>
      <c r="S345" s="371">
        <v>0</v>
      </c>
      <c r="T345" s="380">
        <v>0</v>
      </c>
      <c r="U345" s="374"/>
      <c r="W345" s="85">
        <f>J345/(F345+J345)</f>
        <v>0</v>
      </c>
      <c r="X345" s="147" t="s">
        <v>43</v>
      </c>
      <c r="Y345" s="147" t="s">
        <v>43</v>
      </c>
      <c r="Z345" s="283">
        <f t="shared" si="39"/>
        <v>0</v>
      </c>
      <c r="AA345" s="86">
        <f>R345/(N345+R345)</f>
        <v>0</v>
      </c>
      <c r="AB345" s="147" t="s">
        <v>43</v>
      </c>
      <c r="AC345" s="147" t="s">
        <v>43</v>
      </c>
      <c r="AD345" s="284">
        <f t="shared" si="40"/>
        <v>0</v>
      </c>
      <c r="AE345" s="361"/>
      <c r="AF345" s="362"/>
      <c r="AG345" s="361"/>
      <c r="AH345" s="362"/>
      <c r="AI345" s="361"/>
    </row>
    <row r="346" spans="1:35">
      <c r="B346" s="2">
        <v>3</v>
      </c>
      <c r="C346" s="17" t="s">
        <v>23</v>
      </c>
      <c r="D346" s="126" t="s">
        <v>24</v>
      </c>
      <c r="E346" s="17" t="s">
        <v>25</v>
      </c>
      <c r="F346" s="369" t="s">
        <v>42</v>
      </c>
      <c r="G346" s="369" t="s">
        <v>42</v>
      </c>
      <c r="H346" s="348">
        <f>(31+12)/2</f>
        <v>21.5</v>
      </c>
      <c r="J346" s="370">
        <v>0</v>
      </c>
      <c r="K346" s="379">
        <v>0</v>
      </c>
      <c r="L346" s="347">
        <v>0</v>
      </c>
      <c r="N346" s="369" t="s">
        <v>42</v>
      </c>
      <c r="O346" s="378" t="s">
        <v>42</v>
      </c>
      <c r="P346" s="378" t="s">
        <v>42</v>
      </c>
      <c r="R346" s="369">
        <v>0</v>
      </c>
      <c r="S346" s="378">
        <v>0</v>
      </c>
      <c r="T346" s="378">
        <v>0</v>
      </c>
      <c r="U346" s="372" t="s">
        <v>34</v>
      </c>
      <c r="V346" s="404" t="s">
        <v>35</v>
      </c>
      <c r="W346" s="134" t="s">
        <v>43</v>
      </c>
      <c r="X346" s="134" t="s">
        <v>43</v>
      </c>
      <c r="Y346" s="63">
        <f t="shared" si="42"/>
        <v>0</v>
      </c>
      <c r="Z346" s="64">
        <f t="shared" si="39"/>
        <v>0</v>
      </c>
      <c r="AA346" s="134" t="s">
        <v>43</v>
      </c>
      <c r="AB346" s="134" t="s">
        <v>43</v>
      </c>
      <c r="AC346" s="134" t="s">
        <v>43</v>
      </c>
      <c r="AD346" s="66"/>
      <c r="AE346" s="16">
        <v>0</v>
      </c>
      <c r="AF346" s="15">
        <v>1</v>
      </c>
      <c r="AG346" s="16">
        <v>0</v>
      </c>
      <c r="AH346" s="15">
        <v>0</v>
      </c>
      <c r="AI346" s="16">
        <v>0</v>
      </c>
    </row>
    <row r="347" spans="1:35">
      <c r="E347" s="17" t="s">
        <v>28</v>
      </c>
      <c r="F347" s="370" t="s">
        <v>42</v>
      </c>
      <c r="G347" s="370" t="s">
        <v>42</v>
      </c>
      <c r="H347" s="348">
        <f>(16+11)/2</f>
        <v>13.5</v>
      </c>
      <c r="J347" s="370">
        <v>0</v>
      </c>
      <c r="K347" s="379">
        <v>0</v>
      </c>
      <c r="L347" s="347">
        <v>0</v>
      </c>
      <c r="N347" s="370" t="s">
        <v>42</v>
      </c>
      <c r="O347" s="379" t="s">
        <v>42</v>
      </c>
      <c r="P347" s="379" t="s">
        <v>42</v>
      </c>
      <c r="R347" s="370">
        <v>0</v>
      </c>
      <c r="S347" s="379">
        <v>0</v>
      </c>
      <c r="T347" s="379">
        <v>0</v>
      </c>
      <c r="U347" s="373"/>
      <c r="W347" s="134" t="s">
        <v>43</v>
      </c>
      <c r="X347" s="134" t="s">
        <v>43</v>
      </c>
      <c r="Y347" s="63">
        <f t="shared" si="42"/>
        <v>0</v>
      </c>
      <c r="Z347" s="64">
        <f t="shared" si="39"/>
        <v>0</v>
      </c>
      <c r="AA347" s="134" t="s">
        <v>43</v>
      </c>
      <c r="AB347" s="134" t="s">
        <v>43</v>
      </c>
      <c r="AC347" s="134" t="s">
        <v>43</v>
      </c>
      <c r="AD347" s="66"/>
    </row>
    <row r="348" spans="1:35">
      <c r="E348" s="17" t="s">
        <v>29</v>
      </c>
      <c r="F348" s="370" t="s">
        <v>42</v>
      </c>
      <c r="G348" s="370" t="s">
        <v>42</v>
      </c>
      <c r="H348" s="348">
        <f>(48+28)/2</f>
        <v>38</v>
      </c>
      <c r="J348" s="370">
        <v>0</v>
      </c>
      <c r="K348" s="379">
        <v>0</v>
      </c>
      <c r="L348" s="347">
        <v>3</v>
      </c>
      <c r="N348" s="370" t="s">
        <v>42</v>
      </c>
      <c r="O348" s="379" t="s">
        <v>42</v>
      </c>
      <c r="P348" s="379" t="s">
        <v>42</v>
      </c>
      <c r="R348" s="370">
        <v>0</v>
      </c>
      <c r="S348" s="379">
        <v>0</v>
      </c>
      <c r="T348" s="379">
        <v>0</v>
      </c>
      <c r="U348" s="373"/>
      <c r="W348" s="134" t="s">
        <v>43</v>
      </c>
      <c r="X348" s="134" t="s">
        <v>43</v>
      </c>
      <c r="Y348" s="63">
        <f t="shared" si="42"/>
        <v>7.3170731707317069E-2</v>
      </c>
      <c r="Z348" s="64">
        <f t="shared" si="39"/>
        <v>7.3170731707317069E-2</v>
      </c>
      <c r="AA348" s="134" t="s">
        <v>43</v>
      </c>
      <c r="AB348" s="134" t="s">
        <v>43</v>
      </c>
      <c r="AC348" s="134" t="s">
        <v>43</v>
      </c>
      <c r="AD348" s="66"/>
    </row>
    <row r="349" spans="1:35" s="360" customFormat="1">
      <c r="A349" s="75"/>
      <c r="B349" s="76"/>
      <c r="C349" s="77"/>
      <c r="D349" s="77"/>
      <c r="E349" s="77" t="s">
        <v>30</v>
      </c>
      <c r="F349" s="371" t="s">
        <v>42</v>
      </c>
      <c r="G349" s="371" t="s">
        <v>42</v>
      </c>
      <c r="H349" s="355">
        <f>(30+21)/2</f>
        <v>25.5</v>
      </c>
      <c r="I349" s="356"/>
      <c r="J349" s="371">
        <v>0</v>
      </c>
      <c r="K349" s="380">
        <v>0</v>
      </c>
      <c r="L349" s="354">
        <v>0</v>
      </c>
      <c r="M349" s="356"/>
      <c r="N349" s="371" t="s">
        <v>42</v>
      </c>
      <c r="O349" s="380" t="s">
        <v>42</v>
      </c>
      <c r="P349" s="380" t="s">
        <v>42</v>
      </c>
      <c r="Q349" s="356"/>
      <c r="R349" s="371">
        <v>0</v>
      </c>
      <c r="S349" s="380">
        <v>0</v>
      </c>
      <c r="T349" s="380">
        <v>0</v>
      </c>
      <c r="U349" s="374"/>
      <c r="W349" s="147" t="s">
        <v>43</v>
      </c>
      <c r="X349" s="147" t="s">
        <v>43</v>
      </c>
      <c r="Y349" s="87">
        <f t="shared" si="42"/>
        <v>0</v>
      </c>
      <c r="Z349" s="283">
        <f t="shared" ref="Z349:Z399" si="45">AVERAGE(W349:Y349)</f>
        <v>0</v>
      </c>
      <c r="AA349" s="147" t="s">
        <v>43</v>
      </c>
      <c r="AB349" s="147" t="s">
        <v>43</v>
      </c>
      <c r="AC349" s="147" t="s">
        <v>43</v>
      </c>
      <c r="AD349" s="284"/>
      <c r="AE349" s="361"/>
      <c r="AF349" s="362"/>
      <c r="AG349" s="361"/>
      <c r="AH349" s="362"/>
      <c r="AI349" s="361"/>
    </row>
    <row r="350" spans="1:35">
      <c r="B350" s="154" t="s">
        <v>111</v>
      </c>
      <c r="C350" s="17" t="s">
        <v>23</v>
      </c>
      <c r="D350" s="126" t="s">
        <v>24</v>
      </c>
      <c r="E350" s="17" t="s">
        <v>25</v>
      </c>
      <c r="F350" s="369" t="s">
        <v>42</v>
      </c>
      <c r="G350" s="369" t="s">
        <v>42</v>
      </c>
      <c r="H350" s="348">
        <f>(165+43+34)/3</f>
        <v>80.666666666666671</v>
      </c>
      <c r="J350" s="370">
        <v>0</v>
      </c>
      <c r="K350" s="379">
        <v>0</v>
      </c>
      <c r="L350" s="347">
        <v>0</v>
      </c>
      <c r="N350" s="351">
        <f>(113+27+22)/3</f>
        <v>54</v>
      </c>
      <c r="O350" s="369" t="s">
        <v>42</v>
      </c>
      <c r="P350" s="378" t="s">
        <v>42</v>
      </c>
      <c r="R350" s="346">
        <v>2</v>
      </c>
      <c r="S350" s="369">
        <v>0</v>
      </c>
      <c r="T350" s="378">
        <v>0</v>
      </c>
      <c r="U350" s="372" t="s">
        <v>34</v>
      </c>
      <c r="V350" s="404" t="s">
        <v>35</v>
      </c>
      <c r="W350" s="134" t="s">
        <v>43</v>
      </c>
      <c r="X350" s="134" t="s">
        <v>43</v>
      </c>
      <c r="Y350" s="63">
        <f t="shared" si="42"/>
        <v>0</v>
      </c>
      <c r="Z350" s="64">
        <f t="shared" si="45"/>
        <v>0</v>
      </c>
      <c r="AA350" s="62">
        <f>R350/(N350+R350)</f>
        <v>3.5714285714285712E-2</v>
      </c>
      <c r="AB350" s="134" t="s">
        <v>43</v>
      </c>
      <c r="AC350" s="134" t="s">
        <v>43</v>
      </c>
      <c r="AD350" s="66">
        <f t="shared" ref="AD350:AD395" si="46">AVERAGE(AA350:AC350)</f>
        <v>3.5714285714285712E-2</v>
      </c>
      <c r="AE350" s="16">
        <v>1</v>
      </c>
      <c r="AF350" s="15">
        <v>0</v>
      </c>
      <c r="AG350" s="16">
        <v>0</v>
      </c>
      <c r="AH350" s="15">
        <v>0</v>
      </c>
      <c r="AI350" s="16">
        <v>0</v>
      </c>
    </row>
    <row r="351" spans="1:35">
      <c r="E351" s="17" t="s">
        <v>28</v>
      </c>
      <c r="F351" s="370" t="s">
        <v>42</v>
      </c>
      <c r="G351" s="370" t="s">
        <v>42</v>
      </c>
      <c r="H351" s="348">
        <f>(103+27+26)/3</f>
        <v>52</v>
      </c>
      <c r="J351" s="370">
        <v>0</v>
      </c>
      <c r="K351" s="379">
        <v>0</v>
      </c>
      <c r="L351" s="347">
        <v>0</v>
      </c>
      <c r="N351" s="351">
        <f>(93+23+37)/3</f>
        <v>51</v>
      </c>
      <c r="O351" s="370" t="s">
        <v>42</v>
      </c>
      <c r="P351" s="379" t="s">
        <v>42</v>
      </c>
      <c r="R351" s="346">
        <v>0</v>
      </c>
      <c r="S351" s="370">
        <v>0</v>
      </c>
      <c r="T351" s="379">
        <v>0</v>
      </c>
      <c r="U351" s="373"/>
      <c r="W351" s="134" t="s">
        <v>43</v>
      </c>
      <c r="X351" s="134" t="s">
        <v>43</v>
      </c>
      <c r="Y351" s="63">
        <f t="shared" si="42"/>
        <v>0</v>
      </c>
      <c r="Z351" s="64">
        <f t="shared" si="45"/>
        <v>0</v>
      </c>
      <c r="AA351" s="62">
        <f>R351/(N351+R351)</f>
        <v>0</v>
      </c>
      <c r="AB351" s="134" t="s">
        <v>43</v>
      </c>
      <c r="AC351" s="134" t="s">
        <v>43</v>
      </c>
      <c r="AD351" s="66">
        <f t="shared" si="46"/>
        <v>0</v>
      </c>
    </row>
    <row r="352" spans="1:35">
      <c r="E352" s="17" t="s">
        <v>29</v>
      </c>
      <c r="F352" s="370" t="s">
        <v>42</v>
      </c>
      <c r="G352" s="370" t="s">
        <v>42</v>
      </c>
      <c r="H352" s="348">
        <f>(104+37+48)/3</f>
        <v>63</v>
      </c>
      <c r="J352" s="370">
        <v>0</v>
      </c>
      <c r="K352" s="379">
        <v>0</v>
      </c>
      <c r="L352" s="347">
        <v>2</v>
      </c>
      <c r="N352" s="351">
        <f>(168+43+31)/3</f>
        <v>80.666666666666671</v>
      </c>
      <c r="O352" s="370" t="s">
        <v>42</v>
      </c>
      <c r="P352" s="379" t="s">
        <v>42</v>
      </c>
      <c r="R352" s="346">
        <v>0</v>
      </c>
      <c r="S352" s="370">
        <v>0</v>
      </c>
      <c r="T352" s="379">
        <v>0</v>
      </c>
      <c r="U352" s="373"/>
      <c r="W352" s="134" t="s">
        <v>43</v>
      </c>
      <c r="X352" s="134" t="s">
        <v>43</v>
      </c>
      <c r="Y352" s="63">
        <f t="shared" si="42"/>
        <v>3.0769230769230771E-2</v>
      </c>
      <c r="Z352" s="64">
        <f t="shared" si="45"/>
        <v>3.0769230769230771E-2</v>
      </c>
      <c r="AA352" s="62">
        <f>R352/(N352+R352)</f>
        <v>0</v>
      </c>
      <c r="AB352" s="134" t="s">
        <v>43</v>
      </c>
      <c r="AC352" s="134" t="s">
        <v>43</v>
      </c>
      <c r="AD352" s="66">
        <f t="shared" si="46"/>
        <v>0</v>
      </c>
    </row>
    <row r="353" spans="1:35" s="360" customFormat="1">
      <c r="A353" s="75"/>
      <c r="B353" s="76"/>
      <c r="C353" s="77"/>
      <c r="D353" s="77"/>
      <c r="E353" s="77" t="s">
        <v>30</v>
      </c>
      <c r="F353" s="371" t="s">
        <v>42</v>
      </c>
      <c r="G353" s="371" t="s">
        <v>42</v>
      </c>
      <c r="H353" s="355">
        <f>(78+21+28)/3</f>
        <v>42.333333333333336</v>
      </c>
      <c r="I353" s="356"/>
      <c r="J353" s="371">
        <v>0</v>
      </c>
      <c r="K353" s="380">
        <v>0</v>
      </c>
      <c r="L353" s="354">
        <v>0</v>
      </c>
      <c r="M353" s="356"/>
      <c r="N353" s="358">
        <f>(119+35+54)/3</f>
        <v>69.333333333333329</v>
      </c>
      <c r="O353" s="371" t="s">
        <v>42</v>
      </c>
      <c r="P353" s="380" t="s">
        <v>42</v>
      </c>
      <c r="Q353" s="356"/>
      <c r="R353" s="353">
        <v>1</v>
      </c>
      <c r="S353" s="371">
        <v>0</v>
      </c>
      <c r="T353" s="380">
        <v>0</v>
      </c>
      <c r="U353" s="374"/>
      <c r="W353" s="147" t="s">
        <v>43</v>
      </c>
      <c r="X353" s="147" t="s">
        <v>43</v>
      </c>
      <c r="Y353" s="87">
        <f t="shared" si="42"/>
        <v>0</v>
      </c>
      <c r="Z353" s="283">
        <f t="shared" si="45"/>
        <v>0</v>
      </c>
      <c r="AA353" s="86">
        <f>R353/(N353+R353)</f>
        <v>1.4218009478672987E-2</v>
      </c>
      <c r="AB353" s="147" t="s">
        <v>43</v>
      </c>
      <c r="AC353" s="147" t="s">
        <v>43</v>
      </c>
      <c r="AD353" s="284">
        <f t="shared" si="46"/>
        <v>1.4218009478672987E-2</v>
      </c>
      <c r="AE353" s="361"/>
      <c r="AF353" s="362"/>
      <c r="AG353" s="361"/>
      <c r="AH353" s="362"/>
      <c r="AI353" s="361"/>
    </row>
    <row r="354" spans="1:35">
      <c r="B354" s="2">
        <v>7</v>
      </c>
      <c r="C354" s="17" t="s">
        <v>23</v>
      </c>
      <c r="D354" s="126" t="s">
        <v>24</v>
      </c>
      <c r="E354" s="17" t="s">
        <v>25</v>
      </c>
      <c r="F354" s="369" t="s">
        <v>42</v>
      </c>
      <c r="G354" s="378" t="s">
        <v>42</v>
      </c>
      <c r="H354" s="378" t="s">
        <v>42</v>
      </c>
      <c r="J354" s="370">
        <v>0</v>
      </c>
      <c r="K354" s="379">
        <v>0</v>
      </c>
      <c r="L354" s="379">
        <v>0</v>
      </c>
      <c r="N354" s="369" t="s">
        <v>42</v>
      </c>
      <c r="O354" s="350">
        <f>(113+29)/2</f>
        <v>71</v>
      </c>
      <c r="P354" s="348">
        <f>(151+35)/2</f>
        <v>93</v>
      </c>
      <c r="R354" s="369">
        <v>0</v>
      </c>
      <c r="S354" s="349">
        <v>1</v>
      </c>
      <c r="T354" s="347">
        <v>0</v>
      </c>
      <c r="U354" s="352" t="s">
        <v>34</v>
      </c>
      <c r="V354" s="404" t="s">
        <v>35</v>
      </c>
      <c r="W354" s="134" t="s">
        <v>43</v>
      </c>
      <c r="X354" s="134" t="s">
        <v>43</v>
      </c>
      <c r="Y354" s="134" t="s">
        <v>43</v>
      </c>
      <c r="Z354" s="64"/>
      <c r="AA354" s="134" t="s">
        <v>43</v>
      </c>
      <c r="AB354" s="65">
        <f t="shared" ref="AB354:AB361" si="47">S354/(O354+S354)</f>
        <v>1.3888888888888888E-2</v>
      </c>
      <c r="AC354" s="62">
        <f t="shared" si="44"/>
        <v>0</v>
      </c>
      <c r="AD354" s="66">
        <f t="shared" si="46"/>
        <v>6.9444444444444441E-3</v>
      </c>
      <c r="AE354" s="16">
        <v>0</v>
      </c>
      <c r="AF354" s="15">
        <v>0</v>
      </c>
      <c r="AG354" s="16">
        <v>1</v>
      </c>
      <c r="AH354" s="15">
        <v>0</v>
      </c>
      <c r="AI354" s="16">
        <v>0</v>
      </c>
    </row>
    <row r="355" spans="1:35">
      <c r="E355" s="17" t="s">
        <v>28</v>
      </c>
      <c r="F355" s="370" t="s">
        <v>42</v>
      </c>
      <c r="G355" s="379" t="s">
        <v>42</v>
      </c>
      <c r="H355" s="379" t="s">
        <v>42</v>
      </c>
      <c r="J355" s="370">
        <v>0</v>
      </c>
      <c r="K355" s="379">
        <v>0</v>
      </c>
      <c r="L355" s="379">
        <v>0</v>
      </c>
      <c r="N355" s="370" t="s">
        <v>42</v>
      </c>
      <c r="O355" s="350">
        <f>(81+36)/2</f>
        <v>58.5</v>
      </c>
      <c r="P355" s="348">
        <f>(94+32)/2</f>
        <v>63</v>
      </c>
      <c r="R355" s="370">
        <v>0</v>
      </c>
      <c r="S355" s="349">
        <v>0</v>
      </c>
      <c r="T355" s="347">
        <v>0</v>
      </c>
      <c r="W355" s="134" t="s">
        <v>43</v>
      </c>
      <c r="X355" s="134" t="s">
        <v>43</v>
      </c>
      <c r="Y355" s="134" t="s">
        <v>43</v>
      </c>
      <c r="Z355" s="64"/>
      <c r="AA355" s="134" t="s">
        <v>43</v>
      </c>
      <c r="AB355" s="65">
        <f t="shared" si="47"/>
        <v>0</v>
      </c>
      <c r="AC355" s="62">
        <f t="shared" si="44"/>
        <v>0</v>
      </c>
      <c r="AD355" s="66">
        <f t="shared" si="46"/>
        <v>0</v>
      </c>
    </row>
    <row r="356" spans="1:35">
      <c r="E356" s="17" t="s">
        <v>29</v>
      </c>
      <c r="F356" s="370" t="s">
        <v>42</v>
      </c>
      <c r="G356" s="379" t="s">
        <v>42</v>
      </c>
      <c r="H356" s="379" t="s">
        <v>42</v>
      </c>
      <c r="J356" s="370">
        <v>0</v>
      </c>
      <c r="K356" s="379">
        <v>0</v>
      </c>
      <c r="L356" s="379">
        <v>0</v>
      </c>
      <c r="N356" s="370" t="s">
        <v>42</v>
      </c>
      <c r="O356" s="350">
        <f>(163+35)/2</f>
        <v>99</v>
      </c>
      <c r="P356" s="348">
        <f>(161+21)/2</f>
        <v>91</v>
      </c>
      <c r="R356" s="370">
        <v>0</v>
      </c>
      <c r="S356" s="349">
        <v>0</v>
      </c>
      <c r="T356" s="347">
        <v>1</v>
      </c>
      <c r="W356" s="134" t="s">
        <v>43</v>
      </c>
      <c r="X356" s="134" t="s">
        <v>43</v>
      </c>
      <c r="Y356" s="134" t="s">
        <v>43</v>
      </c>
      <c r="Z356" s="64"/>
      <c r="AA356" s="134" t="s">
        <v>43</v>
      </c>
      <c r="AB356" s="65">
        <f t="shared" si="47"/>
        <v>0</v>
      </c>
      <c r="AC356" s="62">
        <f t="shared" si="44"/>
        <v>1.0869565217391304E-2</v>
      </c>
      <c r="AD356" s="66">
        <f t="shared" si="46"/>
        <v>5.434782608695652E-3</v>
      </c>
    </row>
    <row r="357" spans="1:35" s="360" customFormat="1">
      <c r="A357" s="75"/>
      <c r="B357" s="76"/>
      <c r="C357" s="77"/>
      <c r="D357" s="77"/>
      <c r="E357" s="77" t="s">
        <v>30</v>
      </c>
      <c r="F357" s="371" t="s">
        <v>42</v>
      </c>
      <c r="G357" s="380" t="s">
        <v>42</v>
      </c>
      <c r="H357" s="380" t="s">
        <v>42</v>
      </c>
      <c r="I357" s="356"/>
      <c r="J357" s="371">
        <v>0</v>
      </c>
      <c r="K357" s="380">
        <v>0</v>
      </c>
      <c r="L357" s="380">
        <v>0</v>
      </c>
      <c r="M357" s="356"/>
      <c r="N357" s="371" t="s">
        <v>42</v>
      </c>
      <c r="O357" s="357">
        <f>(102+23)/2</f>
        <v>62.5</v>
      </c>
      <c r="P357" s="355">
        <f>(84+33)/2</f>
        <v>58.5</v>
      </c>
      <c r="Q357" s="356"/>
      <c r="R357" s="371">
        <v>0</v>
      </c>
      <c r="S357" s="356">
        <v>0</v>
      </c>
      <c r="T357" s="354">
        <v>1</v>
      </c>
      <c r="U357" s="359"/>
      <c r="W357" s="147" t="s">
        <v>43</v>
      </c>
      <c r="X357" s="147" t="s">
        <v>43</v>
      </c>
      <c r="Y357" s="147" t="s">
        <v>43</v>
      </c>
      <c r="Z357" s="285"/>
      <c r="AA357" s="147" t="s">
        <v>43</v>
      </c>
      <c r="AB357" s="89">
        <f t="shared" si="47"/>
        <v>0</v>
      </c>
      <c r="AC357" s="86">
        <f t="shared" si="44"/>
        <v>1.680672268907563E-2</v>
      </c>
      <c r="AD357" s="284">
        <f t="shared" si="46"/>
        <v>8.4033613445378148E-3</v>
      </c>
      <c r="AE357" s="361"/>
      <c r="AF357" s="362"/>
      <c r="AG357" s="361"/>
      <c r="AH357" s="362"/>
      <c r="AI357" s="361"/>
    </row>
    <row r="358" spans="1:35">
      <c r="B358" s="2">
        <v>7</v>
      </c>
      <c r="C358" s="17" t="s">
        <v>102</v>
      </c>
      <c r="D358" s="126" t="s">
        <v>24</v>
      </c>
      <c r="E358" s="17" t="s">
        <v>25</v>
      </c>
      <c r="F358" s="369" t="s">
        <v>42</v>
      </c>
      <c r="G358" s="369" t="s">
        <v>42</v>
      </c>
      <c r="H358" s="348">
        <v>165</v>
      </c>
      <c r="J358" s="370">
        <v>0</v>
      </c>
      <c r="K358" s="379">
        <v>0</v>
      </c>
      <c r="L358" s="347">
        <f>(2+0)/2</f>
        <v>1</v>
      </c>
      <c r="N358" s="369" t="s">
        <v>42</v>
      </c>
      <c r="O358" s="350">
        <v>113</v>
      </c>
      <c r="P358" s="348">
        <v>151</v>
      </c>
      <c r="R358" s="369">
        <v>0</v>
      </c>
      <c r="S358" s="349">
        <v>0</v>
      </c>
      <c r="T358" s="347">
        <v>0</v>
      </c>
      <c r="U358" s="352" t="s">
        <v>34</v>
      </c>
      <c r="V358" s="404" t="s">
        <v>35</v>
      </c>
      <c r="W358" s="134" t="s">
        <v>43</v>
      </c>
      <c r="X358" s="134" t="s">
        <v>43</v>
      </c>
      <c r="Y358" s="63">
        <f t="shared" si="42"/>
        <v>6.024096385542169E-3</v>
      </c>
      <c r="Z358" s="64">
        <f t="shared" si="45"/>
        <v>6.024096385542169E-3</v>
      </c>
      <c r="AA358" s="134" t="s">
        <v>43</v>
      </c>
      <c r="AB358" s="65">
        <f t="shared" si="47"/>
        <v>0</v>
      </c>
      <c r="AC358" s="62">
        <f t="shared" si="44"/>
        <v>0</v>
      </c>
      <c r="AD358" s="66">
        <f t="shared" si="46"/>
        <v>0</v>
      </c>
      <c r="AE358" s="16">
        <v>1</v>
      </c>
      <c r="AF358" s="15">
        <v>0</v>
      </c>
      <c r="AG358" s="16">
        <v>0</v>
      </c>
      <c r="AH358" s="15">
        <v>0</v>
      </c>
      <c r="AI358" s="16">
        <v>0</v>
      </c>
    </row>
    <row r="359" spans="1:35">
      <c r="E359" s="17" t="s">
        <v>28</v>
      </c>
      <c r="F359" s="370" t="s">
        <v>42</v>
      </c>
      <c r="G359" s="370" t="s">
        <v>42</v>
      </c>
      <c r="H359" s="348">
        <v>103</v>
      </c>
      <c r="J359" s="370">
        <v>0</v>
      </c>
      <c r="K359" s="379">
        <v>0</v>
      </c>
      <c r="L359" s="347">
        <v>0</v>
      </c>
      <c r="N359" s="370" t="s">
        <v>42</v>
      </c>
      <c r="O359" s="350">
        <v>81</v>
      </c>
      <c r="P359" s="348">
        <v>94</v>
      </c>
      <c r="R359" s="370">
        <v>0</v>
      </c>
      <c r="S359" s="349">
        <v>0</v>
      </c>
      <c r="T359" s="347">
        <v>0</v>
      </c>
      <c r="W359" s="134" t="s">
        <v>43</v>
      </c>
      <c r="X359" s="134" t="s">
        <v>43</v>
      </c>
      <c r="Y359" s="63">
        <f t="shared" si="42"/>
        <v>0</v>
      </c>
      <c r="Z359" s="64">
        <f t="shared" si="45"/>
        <v>0</v>
      </c>
      <c r="AA359" s="134" t="s">
        <v>43</v>
      </c>
      <c r="AB359" s="65">
        <f t="shared" si="47"/>
        <v>0</v>
      </c>
      <c r="AC359" s="62">
        <f t="shared" si="44"/>
        <v>0</v>
      </c>
      <c r="AD359" s="66">
        <f t="shared" si="46"/>
        <v>0</v>
      </c>
    </row>
    <row r="360" spans="1:35">
      <c r="E360" s="17" t="s">
        <v>29</v>
      </c>
      <c r="F360" s="370" t="s">
        <v>42</v>
      </c>
      <c r="G360" s="370" t="s">
        <v>42</v>
      </c>
      <c r="H360" s="348">
        <v>104</v>
      </c>
      <c r="J360" s="370">
        <v>0</v>
      </c>
      <c r="K360" s="379">
        <v>0</v>
      </c>
      <c r="L360" s="347">
        <v>0</v>
      </c>
      <c r="N360" s="370" t="s">
        <v>42</v>
      </c>
      <c r="O360" s="350">
        <v>163</v>
      </c>
      <c r="P360" s="348">
        <v>161</v>
      </c>
      <c r="R360" s="370">
        <v>0</v>
      </c>
      <c r="S360" s="349">
        <v>0</v>
      </c>
      <c r="T360" s="347">
        <f>(0+3)/2</f>
        <v>1.5</v>
      </c>
      <c r="W360" s="134" t="s">
        <v>43</v>
      </c>
      <c r="X360" s="134" t="s">
        <v>43</v>
      </c>
      <c r="Y360" s="63">
        <f t="shared" si="42"/>
        <v>0</v>
      </c>
      <c r="Z360" s="64">
        <f t="shared" si="45"/>
        <v>0</v>
      </c>
      <c r="AA360" s="134" t="s">
        <v>43</v>
      </c>
      <c r="AB360" s="65">
        <f t="shared" si="47"/>
        <v>0</v>
      </c>
      <c r="AC360" s="62">
        <f t="shared" si="44"/>
        <v>9.2307692307692316E-3</v>
      </c>
      <c r="AD360" s="66">
        <f t="shared" si="46"/>
        <v>4.6153846153846158E-3</v>
      </c>
    </row>
    <row r="361" spans="1:35" s="360" customFormat="1">
      <c r="A361" s="75"/>
      <c r="B361" s="76"/>
      <c r="C361" s="77"/>
      <c r="D361" s="77"/>
      <c r="E361" s="77" t="s">
        <v>30</v>
      </c>
      <c r="F361" s="371" t="s">
        <v>42</v>
      </c>
      <c r="G361" s="371" t="s">
        <v>42</v>
      </c>
      <c r="H361" s="355">
        <v>78</v>
      </c>
      <c r="I361" s="356"/>
      <c r="J361" s="371">
        <v>0</v>
      </c>
      <c r="K361" s="380">
        <v>0</v>
      </c>
      <c r="L361" s="354">
        <v>0</v>
      </c>
      <c r="M361" s="356"/>
      <c r="N361" s="371" t="s">
        <v>42</v>
      </c>
      <c r="O361" s="357">
        <v>102</v>
      </c>
      <c r="P361" s="355">
        <v>84</v>
      </c>
      <c r="Q361" s="356"/>
      <c r="R361" s="371">
        <v>0</v>
      </c>
      <c r="S361" s="356">
        <f>(1+1)/2</f>
        <v>1</v>
      </c>
      <c r="T361" s="354">
        <v>0</v>
      </c>
      <c r="U361" s="359"/>
      <c r="W361" s="147" t="s">
        <v>43</v>
      </c>
      <c r="X361" s="147" t="s">
        <v>43</v>
      </c>
      <c r="Y361" s="86">
        <f t="shared" si="42"/>
        <v>0</v>
      </c>
      <c r="Z361" s="285">
        <f t="shared" si="45"/>
        <v>0</v>
      </c>
      <c r="AA361" s="147" t="s">
        <v>43</v>
      </c>
      <c r="AB361" s="89">
        <f t="shared" si="47"/>
        <v>9.7087378640776691E-3</v>
      </c>
      <c r="AC361" s="86">
        <f t="shared" si="44"/>
        <v>0</v>
      </c>
      <c r="AD361" s="284">
        <f t="shared" si="46"/>
        <v>4.8543689320388345E-3</v>
      </c>
      <c r="AE361" s="361"/>
      <c r="AF361" s="362"/>
      <c r="AG361" s="361"/>
      <c r="AH361" s="362"/>
      <c r="AI361" s="361"/>
    </row>
    <row r="362" spans="1:35" s="244" customFormat="1" ht="48" thickBot="1">
      <c r="A362" s="240" t="s">
        <v>112</v>
      </c>
      <c r="B362" s="241">
        <v>6</v>
      </c>
      <c r="C362" s="242" t="s">
        <v>31</v>
      </c>
      <c r="D362" s="242" t="s">
        <v>32</v>
      </c>
      <c r="E362" s="242" t="s">
        <v>57</v>
      </c>
      <c r="G362" s="408"/>
      <c r="H362" s="409"/>
      <c r="I362" s="250"/>
      <c r="J362" s="410"/>
      <c r="K362" s="250"/>
      <c r="L362" s="408"/>
      <c r="M362" s="250"/>
      <c r="N362" s="411"/>
      <c r="O362" s="410"/>
      <c r="P362" s="409"/>
      <c r="Q362" s="250"/>
      <c r="R362" s="253"/>
      <c r="S362" s="250"/>
      <c r="T362" s="408"/>
      <c r="U362" s="251" t="s">
        <v>34</v>
      </c>
      <c r="W362" s="252"/>
      <c r="X362" s="253"/>
      <c r="Y362" s="227"/>
      <c r="Z362" s="412"/>
      <c r="AA362" s="253"/>
      <c r="AC362" s="253"/>
      <c r="AD362" s="413"/>
      <c r="AE362" s="414">
        <v>0</v>
      </c>
      <c r="AF362" s="415">
        <v>1</v>
      </c>
      <c r="AG362" s="414">
        <v>0</v>
      </c>
      <c r="AH362" s="415">
        <v>0</v>
      </c>
      <c r="AI362" s="414">
        <v>1</v>
      </c>
    </row>
    <row r="363" spans="1:35" s="4" customFormat="1" ht="16.5" thickTop="1">
      <c r="A363" s="1" t="s">
        <v>113</v>
      </c>
      <c r="B363" s="2">
        <v>1</v>
      </c>
      <c r="C363" s="17" t="s">
        <v>31</v>
      </c>
      <c r="D363" s="17" t="s">
        <v>32</v>
      </c>
      <c r="E363" s="17" t="s">
        <v>25</v>
      </c>
      <c r="F363" s="369" t="s">
        <v>42</v>
      </c>
      <c r="G363" s="378" t="s">
        <v>42</v>
      </c>
      <c r="H363" s="69">
        <v>27</v>
      </c>
      <c r="I363" s="5"/>
      <c r="J363" s="370">
        <v>0</v>
      </c>
      <c r="K363" s="379">
        <v>0</v>
      </c>
      <c r="L363" s="69">
        <v>0</v>
      </c>
      <c r="M363" s="5"/>
      <c r="N363" s="72">
        <v>15</v>
      </c>
      <c r="O363" s="369" t="s">
        <v>42</v>
      </c>
      <c r="P363" s="70">
        <v>38</v>
      </c>
      <c r="Q363" s="5"/>
      <c r="R363" s="17">
        <v>0</v>
      </c>
      <c r="S363" s="369">
        <v>0</v>
      </c>
      <c r="T363" s="69">
        <v>0</v>
      </c>
      <c r="U363" s="73" t="s">
        <v>34</v>
      </c>
      <c r="V363" s="4" t="s">
        <v>35</v>
      </c>
      <c r="W363" s="134" t="s">
        <v>43</v>
      </c>
      <c r="X363" s="134" t="s">
        <v>43</v>
      </c>
      <c r="Y363" s="63">
        <f t="shared" si="42"/>
        <v>0</v>
      </c>
      <c r="Z363" s="64">
        <f t="shared" si="45"/>
        <v>0</v>
      </c>
      <c r="AA363" s="62">
        <f>R363/(N363+R363)</f>
        <v>0</v>
      </c>
      <c r="AB363" s="134" t="s">
        <v>43</v>
      </c>
      <c r="AC363" s="62">
        <f t="shared" si="44"/>
        <v>0</v>
      </c>
      <c r="AD363" s="66">
        <f t="shared" si="46"/>
        <v>0</v>
      </c>
      <c r="AE363" s="74">
        <v>1</v>
      </c>
      <c r="AF363" s="14">
        <v>0</v>
      </c>
      <c r="AG363" s="74">
        <v>0</v>
      </c>
      <c r="AH363" s="14">
        <v>0</v>
      </c>
      <c r="AI363" s="74">
        <v>0</v>
      </c>
    </row>
    <row r="364" spans="1:35" s="4" customFormat="1">
      <c r="A364" s="182"/>
      <c r="B364" s="2"/>
      <c r="C364" s="17"/>
      <c r="D364" s="17"/>
      <c r="E364" s="17" t="s">
        <v>28</v>
      </c>
      <c r="F364" s="370" t="s">
        <v>42</v>
      </c>
      <c r="G364" s="379" t="s">
        <v>42</v>
      </c>
      <c r="H364" s="69">
        <v>17</v>
      </c>
      <c r="I364" s="5"/>
      <c r="J364" s="370">
        <v>0</v>
      </c>
      <c r="K364" s="379">
        <v>0</v>
      </c>
      <c r="L364" s="69">
        <v>3</v>
      </c>
      <c r="M364" s="5"/>
      <c r="N364" s="72">
        <v>22</v>
      </c>
      <c r="O364" s="370" t="s">
        <v>42</v>
      </c>
      <c r="P364" s="70">
        <v>17</v>
      </c>
      <c r="Q364" s="5"/>
      <c r="R364" s="17">
        <v>1</v>
      </c>
      <c r="S364" s="370">
        <v>0</v>
      </c>
      <c r="T364" s="69">
        <v>1</v>
      </c>
      <c r="U364" s="73"/>
      <c r="W364" s="134" t="s">
        <v>43</v>
      </c>
      <c r="X364" s="134" t="s">
        <v>43</v>
      </c>
      <c r="Y364" s="63">
        <f t="shared" si="42"/>
        <v>0.15</v>
      </c>
      <c r="Z364" s="64">
        <f t="shared" si="45"/>
        <v>0.15</v>
      </c>
      <c r="AA364" s="62">
        <f>R364/(N364+R364)</f>
        <v>4.3478260869565216E-2</v>
      </c>
      <c r="AB364" s="134" t="s">
        <v>43</v>
      </c>
      <c r="AC364" s="62">
        <f t="shared" si="44"/>
        <v>5.5555555555555552E-2</v>
      </c>
      <c r="AD364" s="66">
        <f t="shared" si="46"/>
        <v>4.9516908212560384E-2</v>
      </c>
      <c r="AE364" s="74"/>
      <c r="AF364" s="14"/>
      <c r="AG364" s="74"/>
      <c r="AH364" s="14"/>
      <c r="AI364" s="74"/>
    </row>
    <row r="365" spans="1:35" s="4" customFormat="1">
      <c r="A365" s="182"/>
      <c r="B365" s="2"/>
      <c r="C365" s="17"/>
      <c r="D365" s="17"/>
      <c r="E365" s="17" t="s">
        <v>29</v>
      </c>
      <c r="F365" s="370" t="s">
        <v>42</v>
      </c>
      <c r="G365" s="379" t="s">
        <v>42</v>
      </c>
      <c r="H365" s="69">
        <v>18</v>
      </c>
      <c r="I365" s="5"/>
      <c r="J365" s="370">
        <v>0</v>
      </c>
      <c r="K365" s="379">
        <v>0</v>
      </c>
      <c r="L365" s="69">
        <v>0</v>
      </c>
      <c r="M365" s="5"/>
      <c r="N365" s="72">
        <v>23</v>
      </c>
      <c r="O365" s="370" t="s">
        <v>42</v>
      </c>
      <c r="P365" s="70">
        <v>19</v>
      </c>
      <c r="Q365" s="5"/>
      <c r="R365" s="17">
        <v>0</v>
      </c>
      <c r="S365" s="370">
        <v>0</v>
      </c>
      <c r="T365" s="69">
        <v>0</v>
      </c>
      <c r="U365" s="73"/>
      <c r="W365" s="134" t="s">
        <v>43</v>
      </c>
      <c r="X365" s="134" t="s">
        <v>43</v>
      </c>
      <c r="Y365" s="63">
        <f t="shared" si="42"/>
        <v>0</v>
      </c>
      <c r="Z365" s="64">
        <f t="shared" si="45"/>
        <v>0</v>
      </c>
      <c r="AA365" s="62">
        <f>R365/(N365+R365)</f>
        <v>0</v>
      </c>
      <c r="AB365" s="134" t="s">
        <v>43</v>
      </c>
      <c r="AC365" s="62">
        <f t="shared" si="44"/>
        <v>0</v>
      </c>
      <c r="AD365" s="66">
        <f t="shared" si="46"/>
        <v>0</v>
      </c>
      <c r="AE365" s="74"/>
      <c r="AF365" s="14"/>
      <c r="AG365" s="74"/>
      <c r="AH365" s="14"/>
      <c r="AI365" s="74"/>
    </row>
    <row r="366" spans="1:35" s="78" customFormat="1">
      <c r="A366" s="416"/>
      <c r="B366" s="76"/>
      <c r="C366" s="77"/>
      <c r="D366" s="77"/>
      <c r="E366" s="77" t="s">
        <v>30</v>
      </c>
      <c r="F366" s="371" t="s">
        <v>42</v>
      </c>
      <c r="G366" s="380" t="s">
        <v>42</v>
      </c>
      <c r="H366" s="79">
        <v>18</v>
      </c>
      <c r="I366" s="81"/>
      <c r="J366" s="371">
        <v>0</v>
      </c>
      <c r="K366" s="380">
        <v>0</v>
      </c>
      <c r="L366" s="79">
        <v>0</v>
      </c>
      <c r="M366" s="81"/>
      <c r="N366" s="83">
        <v>48</v>
      </c>
      <c r="O366" s="371" t="s">
        <v>42</v>
      </c>
      <c r="P366" s="80">
        <v>49</v>
      </c>
      <c r="Q366" s="81"/>
      <c r="R366" s="77">
        <v>0</v>
      </c>
      <c r="S366" s="371">
        <v>0</v>
      </c>
      <c r="T366" s="79">
        <v>0</v>
      </c>
      <c r="U366" s="84"/>
      <c r="W366" s="147" t="s">
        <v>43</v>
      </c>
      <c r="X366" s="147" t="s">
        <v>43</v>
      </c>
      <c r="Y366" s="86">
        <f t="shared" si="42"/>
        <v>0</v>
      </c>
      <c r="Z366" s="285">
        <f t="shared" si="45"/>
        <v>0</v>
      </c>
      <c r="AA366" s="86">
        <f>R366/(N366+R366)</f>
        <v>0</v>
      </c>
      <c r="AB366" s="147" t="s">
        <v>43</v>
      </c>
      <c r="AC366" s="86">
        <f t="shared" si="44"/>
        <v>0</v>
      </c>
      <c r="AD366" s="284">
        <f t="shared" si="46"/>
        <v>0</v>
      </c>
      <c r="AE366" s="91"/>
      <c r="AF366" s="92"/>
      <c r="AG366" s="91"/>
      <c r="AH366" s="92"/>
      <c r="AI366" s="91"/>
    </row>
    <row r="367" spans="1:35">
      <c r="B367" s="2">
        <v>12</v>
      </c>
      <c r="C367" s="17" t="s">
        <v>31</v>
      </c>
      <c r="D367" s="17" t="s">
        <v>32</v>
      </c>
      <c r="E367" s="17" t="s">
        <v>25</v>
      </c>
      <c r="F367" s="11">
        <v>22</v>
      </c>
      <c r="G367" s="347">
        <v>25</v>
      </c>
      <c r="H367" s="348">
        <v>27</v>
      </c>
      <c r="J367" s="350">
        <v>0</v>
      </c>
      <c r="K367" s="349">
        <v>0</v>
      </c>
      <c r="L367" s="347">
        <v>0</v>
      </c>
      <c r="N367" s="369" t="s">
        <v>42</v>
      </c>
      <c r="O367" s="350">
        <v>24</v>
      </c>
      <c r="P367" s="348">
        <v>33</v>
      </c>
      <c r="R367" s="369">
        <v>0</v>
      </c>
      <c r="S367" s="349">
        <v>1</v>
      </c>
      <c r="T367" s="347">
        <v>0</v>
      </c>
      <c r="U367" s="352" t="s">
        <v>34</v>
      </c>
      <c r="V367" s="4" t="s">
        <v>35</v>
      </c>
      <c r="W367" s="61">
        <f t="shared" ref="W367:X374" si="48">J367/(F367+J367)</f>
        <v>0</v>
      </c>
      <c r="X367" s="62">
        <f t="shared" si="48"/>
        <v>0</v>
      </c>
      <c r="Y367" s="63">
        <f t="shared" si="42"/>
        <v>0</v>
      </c>
      <c r="Z367" s="64">
        <f t="shared" si="45"/>
        <v>0</v>
      </c>
      <c r="AA367" s="134" t="s">
        <v>43</v>
      </c>
      <c r="AB367" s="65">
        <f t="shared" ref="AB367:AB374" si="49">S367/(O367+S367)</f>
        <v>0.04</v>
      </c>
      <c r="AC367" s="62">
        <f t="shared" si="44"/>
        <v>0</v>
      </c>
      <c r="AD367" s="66">
        <f t="shared" si="46"/>
        <v>0.02</v>
      </c>
      <c r="AE367" s="16">
        <v>1</v>
      </c>
      <c r="AF367" s="15">
        <v>0</v>
      </c>
      <c r="AG367" s="16">
        <v>0</v>
      </c>
      <c r="AH367" s="15">
        <v>0</v>
      </c>
      <c r="AI367" s="16">
        <v>0</v>
      </c>
    </row>
    <row r="368" spans="1:35">
      <c r="E368" s="17" t="s">
        <v>28</v>
      </c>
      <c r="F368" s="11">
        <v>29</v>
      </c>
      <c r="G368" s="347">
        <v>20</v>
      </c>
      <c r="H368" s="348">
        <v>19</v>
      </c>
      <c r="J368" s="350">
        <v>0</v>
      </c>
      <c r="K368" s="349">
        <v>0</v>
      </c>
      <c r="L368" s="347">
        <v>1</v>
      </c>
      <c r="N368" s="370" t="s">
        <v>42</v>
      </c>
      <c r="O368" s="350">
        <v>18</v>
      </c>
      <c r="P368" s="348">
        <v>27</v>
      </c>
      <c r="R368" s="370">
        <v>0</v>
      </c>
      <c r="S368" s="349">
        <v>1</v>
      </c>
      <c r="T368" s="347">
        <v>1</v>
      </c>
      <c r="W368" s="61">
        <f t="shared" si="48"/>
        <v>0</v>
      </c>
      <c r="X368" s="62">
        <f t="shared" si="48"/>
        <v>0</v>
      </c>
      <c r="Y368" s="63">
        <f t="shared" si="42"/>
        <v>0.05</v>
      </c>
      <c r="Z368" s="64">
        <f t="shared" si="45"/>
        <v>1.6666666666666666E-2</v>
      </c>
      <c r="AA368" s="134" t="s">
        <v>43</v>
      </c>
      <c r="AB368" s="65">
        <f t="shared" si="49"/>
        <v>5.2631578947368418E-2</v>
      </c>
      <c r="AC368" s="62">
        <f t="shared" si="44"/>
        <v>3.5714285714285712E-2</v>
      </c>
      <c r="AD368" s="66">
        <f t="shared" si="46"/>
        <v>4.4172932330827065E-2</v>
      </c>
    </row>
    <row r="369" spans="1:35">
      <c r="E369" s="17" t="s">
        <v>29</v>
      </c>
      <c r="F369" s="11">
        <v>22</v>
      </c>
      <c r="G369" s="347">
        <v>26</v>
      </c>
      <c r="H369" s="348">
        <v>28</v>
      </c>
      <c r="J369" s="350">
        <v>1</v>
      </c>
      <c r="K369" s="349">
        <v>1</v>
      </c>
      <c r="L369" s="347">
        <v>1</v>
      </c>
      <c r="N369" s="370" t="s">
        <v>42</v>
      </c>
      <c r="O369" s="350">
        <v>38</v>
      </c>
      <c r="P369" s="348">
        <v>25</v>
      </c>
      <c r="R369" s="370">
        <v>0</v>
      </c>
      <c r="S369" s="349">
        <v>0</v>
      </c>
      <c r="T369" s="347">
        <v>0</v>
      </c>
      <c r="W369" s="61">
        <f t="shared" si="48"/>
        <v>4.3478260869565216E-2</v>
      </c>
      <c r="X369" s="62">
        <f t="shared" si="48"/>
        <v>3.7037037037037035E-2</v>
      </c>
      <c r="Y369" s="63">
        <f t="shared" si="42"/>
        <v>3.4482758620689655E-2</v>
      </c>
      <c r="Z369" s="64">
        <f t="shared" si="45"/>
        <v>3.8332685509097304E-2</v>
      </c>
      <c r="AA369" s="134" t="s">
        <v>43</v>
      </c>
      <c r="AB369" s="65">
        <f t="shared" si="49"/>
        <v>0</v>
      </c>
      <c r="AC369" s="62">
        <f t="shared" si="44"/>
        <v>0</v>
      </c>
      <c r="AD369" s="66">
        <f t="shared" si="46"/>
        <v>0</v>
      </c>
    </row>
    <row r="370" spans="1:35" s="360" customFormat="1">
      <c r="A370" s="75"/>
      <c r="B370" s="76"/>
      <c r="C370" s="77"/>
      <c r="D370" s="77"/>
      <c r="E370" s="77" t="s">
        <v>30</v>
      </c>
      <c r="F370" s="360">
        <v>24</v>
      </c>
      <c r="G370" s="354">
        <v>32</v>
      </c>
      <c r="H370" s="355">
        <v>24</v>
      </c>
      <c r="I370" s="356"/>
      <c r="J370" s="357">
        <v>1</v>
      </c>
      <c r="K370" s="356">
        <v>1</v>
      </c>
      <c r="L370" s="354">
        <v>0</v>
      </c>
      <c r="M370" s="356"/>
      <c r="N370" s="371" t="s">
        <v>42</v>
      </c>
      <c r="O370" s="357">
        <v>47</v>
      </c>
      <c r="P370" s="355">
        <v>41</v>
      </c>
      <c r="Q370" s="356"/>
      <c r="R370" s="371">
        <v>0</v>
      </c>
      <c r="S370" s="356">
        <v>1</v>
      </c>
      <c r="T370" s="354">
        <v>1</v>
      </c>
      <c r="U370" s="359"/>
      <c r="W370" s="85">
        <f t="shared" si="48"/>
        <v>0.04</v>
      </c>
      <c r="X370" s="86">
        <f t="shared" si="48"/>
        <v>3.0303030303030304E-2</v>
      </c>
      <c r="Y370" s="87">
        <f t="shared" si="42"/>
        <v>0</v>
      </c>
      <c r="Z370" s="283">
        <f t="shared" si="45"/>
        <v>2.3434343434343436E-2</v>
      </c>
      <c r="AA370" s="147" t="s">
        <v>43</v>
      </c>
      <c r="AB370" s="89">
        <f t="shared" si="49"/>
        <v>2.0833333333333332E-2</v>
      </c>
      <c r="AC370" s="86">
        <f t="shared" si="44"/>
        <v>2.3809523809523808E-2</v>
      </c>
      <c r="AD370" s="284">
        <f t="shared" si="46"/>
        <v>2.2321428571428568E-2</v>
      </c>
      <c r="AE370" s="361"/>
      <c r="AF370" s="362"/>
      <c r="AG370" s="361"/>
      <c r="AH370" s="362"/>
      <c r="AI370" s="361"/>
    </row>
    <row r="371" spans="1:35">
      <c r="B371" s="2">
        <v>15</v>
      </c>
      <c r="C371" s="17" t="s">
        <v>23</v>
      </c>
      <c r="D371" s="126" t="s">
        <v>24</v>
      </c>
      <c r="E371" s="17" t="s">
        <v>25</v>
      </c>
      <c r="F371" s="11">
        <f>(55+23)/2</f>
        <v>39</v>
      </c>
      <c r="G371" s="347">
        <f>(38+19)/2</f>
        <v>28.5</v>
      </c>
      <c r="H371" s="348">
        <f>(62+24)/2</f>
        <v>43</v>
      </c>
      <c r="J371" s="350">
        <v>0</v>
      </c>
      <c r="K371" s="349">
        <v>0</v>
      </c>
      <c r="L371" s="347">
        <v>0</v>
      </c>
      <c r="N371" s="351">
        <f>(41+36)/2</f>
        <v>38.5</v>
      </c>
      <c r="O371" s="350">
        <f>(30+13)/2</f>
        <v>21.5</v>
      </c>
      <c r="P371" s="348">
        <f>(39+21)/2</f>
        <v>30</v>
      </c>
      <c r="R371" s="346">
        <v>0</v>
      </c>
      <c r="S371" s="349">
        <v>0</v>
      </c>
      <c r="T371" s="347">
        <v>1</v>
      </c>
      <c r="U371" s="352" t="s">
        <v>34</v>
      </c>
      <c r="V371" s="4" t="s">
        <v>35</v>
      </c>
      <c r="W371" s="61">
        <f t="shared" si="48"/>
        <v>0</v>
      </c>
      <c r="X371" s="62">
        <f t="shared" si="48"/>
        <v>0</v>
      </c>
      <c r="Y371" s="63">
        <f t="shared" si="42"/>
        <v>0</v>
      </c>
      <c r="Z371" s="64">
        <f t="shared" si="45"/>
        <v>0</v>
      </c>
      <c r="AA371" s="62">
        <f>R371/(N371+R371)</f>
        <v>0</v>
      </c>
      <c r="AB371" s="65">
        <f t="shared" si="49"/>
        <v>0</v>
      </c>
      <c r="AC371" s="62">
        <f t="shared" si="44"/>
        <v>3.2258064516129031E-2</v>
      </c>
      <c r="AD371" s="66">
        <f t="shared" si="46"/>
        <v>1.075268817204301E-2</v>
      </c>
      <c r="AE371" s="16">
        <v>1</v>
      </c>
      <c r="AF371" s="15">
        <v>0</v>
      </c>
      <c r="AG371" s="16">
        <v>0</v>
      </c>
      <c r="AH371" s="15">
        <v>1</v>
      </c>
      <c r="AI371" s="16">
        <v>0</v>
      </c>
    </row>
    <row r="372" spans="1:35">
      <c r="E372" s="17" t="s">
        <v>28</v>
      </c>
      <c r="F372" s="11">
        <f>(38+15)/2</f>
        <v>26.5</v>
      </c>
      <c r="G372" s="347">
        <f>(51+18)/2</f>
        <v>34.5</v>
      </c>
      <c r="H372" s="348">
        <f>(50+19)/2</f>
        <v>34.5</v>
      </c>
      <c r="J372" s="350">
        <v>1</v>
      </c>
      <c r="K372" s="349">
        <v>0</v>
      </c>
      <c r="L372" s="347">
        <v>1</v>
      </c>
      <c r="N372" s="351">
        <f>(33+16)/2</f>
        <v>24.5</v>
      </c>
      <c r="O372" s="350">
        <f>(27+11)/2</f>
        <v>19</v>
      </c>
      <c r="P372" s="348">
        <f>(30+23)/2</f>
        <v>26.5</v>
      </c>
      <c r="R372" s="346">
        <v>1</v>
      </c>
      <c r="S372" s="349">
        <v>2</v>
      </c>
      <c r="T372" s="347">
        <v>2</v>
      </c>
      <c r="W372" s="61">
        <f t="shared" si="48"/>
        <v>3.6363636363636362E-2</v>
      </c>
      <c r="X372" s="62">
        <f t="shared" si="48"/>
        <v>0</v>
      </c>
      <c r="Y372" s="63">
        <f t="shared" si="42"/>
        <v>2.8169014084507043E-2</v>
      </c>
      <c r="Z372" s="64">
        <f t="shared" si="45"/>
        <v>2.1510883482714471E-2</v>
      </c>
      <c r="AA372" s="62">
        <f>R372/(N372+R372)</f>
        <v>3.9215686274509803E-2</v>
      </c>
      <c r="AB372" s="65">
        <f t="shared" si="49"/>
        <v>9.5238095238095233E-2</v>
      </c>
      <c r="AC372" s="62">
        <f t="shared" si="44"/>
        <v>7.0175438596491224E-2</v>
      </c>
      <c r="AD372" s="66">
        <f t="shared" si="46"/>
        <v>6.8209740036365415E-2</v>
      </c>
    </row>
    <row r="373" spans="1:35">
      <c r="E373" s="17" t="s">
        <v>29</v>
      </c>
      <c r="F373" s="11">
        <f>(28+27)/2</f>
        <v>27.5</v>
      </c>
      <c r="G373" s="347">
        <f>(30+20)/2</f>
        <v>25</v>
      </c>
      <c r="H373" s="348">
        <f>(40+33)/2</f>
        <v>36.5</v>
      </c>
      <c r="J373" s="350">
        <v>2</v>
      </c>
      <c r="K373" s="349">
        <v>1</v>
      </c>
      <c r="L373" s="347">
        <v>0</v>
      </c>
      <c r="N373" s="351">
        <f>(64+26)/2</f>
        <v>45</v>
      </c>
      <c r="O373" s="350">
        <f>(59+26)/2</f>
        <v>42.5</v>
      </c>
      <c r="P373" s="348">
        <f>(49+25)/2</f>
        <v>37</v>
      </c>
      <c r="R373" s="346">
        <v>0</v>
      </c>
      <c r="S373" s="349">
        <v>1</v>
      </c>
      <c r="T373" s="347">
        <v>1</v>
      </c>
      <c r="W373" s="61">
        <f t="shared" si="48"/>
        <v>6.7796610169491525E-2</v>
      </c>
      <c r="X373" s="62">
        <f t="shared" si="48"/>
        <v>3.8461538461538464E-2</v>
      </c>
      <c r="Y373" s="63">
        <f t="shared" si="42"/>
        <v>0</v>
      </c>
      <c r="Z373" s="64">
        <f t="shared" si="45"/>
        <v>3.5419382877009999E-2</v>
      </c>
      <c r="AA373" s="62">
        <f>R373/(N373+R373)</f>
        <v>0</v>
      </c>
      <c r="AB373" s="65">
        <f t="shared" si="49"/>
        <v>2.2988505747126436E-2</v>
      </c>
      <c r="AC373" s="62">
        <f t="shared" si="44"/>
        <v>2.6315789473684209E-2</v>
      </c>
      <c r="AD373" s="66">
        <f t="shared" si="46"/>
        <v>1.6434765073603547E-2</v>
      </c>
    </row>
    <row r="374" spans="1:35" s="360" customFormat="1">
      <c r="A374" s="75"/>
      <c r="B374" s="76"/>
      <c r="C374" s="77"/>
      <c r="D374" s="77"/>
      <c r="E374" s="77" t="s">
        <v>30</v>
      </c>
      <c r="F374" s="360">
        <f>(20+23)/2</f>
        <v>21.5</v>
      </c>
      <c r="G374" s="354">
        <f>(32+23)/2</f>
        <v>27.5</v>
      </c>
      <c r="H374" s="355">
        <f>(33+25)/2</f>
        <v>29</v>
      </c>
      <c r="I374" s="356"/>
      <c r="J374" s="357">
        <v>1</v>
      </c>
      <c r="K374" s="356">
        <v>1</v>
      </c>
      <c r="L374" s="354">
        <v>1</v>
      </c>
      <c r="M374" s="356"/>
      <c r="N374" s="358">
        <f>(54+55)/2</f>
        <v>54.5</v>
      </c>
      <c r="O374" s="357">
        <f>(45+29)/2</f>
        <v>37</v>
      </c>
      <c r="P374" s="355">
        <f>(46+27)/2</f>
        <v>36.5</v>
      </c>
      <c r="Q374" s="356"/>
      <c r="R374" s="353">
        <v>0</v>
      </c>
      <c r="S374" s="356">
        <v>4</v>
      </c>
      <c r="T374" s="354">
        <v>1</v>
      </c>
      <c r="U374" s="359"/>
      <c r="W374" s="85">
        <f t="shared" si="48"/>
        <v>4.4444444444444446E-2</v>
      </c>
      <c r="X374" s="86">
        <f t="shared" si="48"/>
        <v>3.5087719298245612E-2</v>
      </c>
      <c r="Y374" s="87">
        <f t="shared" si="42"/>
        <v>3.3333333333333333E-2</v>
      </c>
      <c r="Z374" s="283">
        <f t="shared" si="45"/>
        <v>3.7621832358674466E-2</v>
      </c>
      <c r="AA374" s="86">
        <f>R374/(N374+R374)</f>
        <v>0</v>
      </c>
      <c r="AB374" s="89">
        <f t="shared" si="49"/>
        <v>9.7560975609756101E-2</v>
      </c>
      <c r="AC374" s="86">
        <f t="shared" si="44"/>
        <v>2.6666666666666668E-2</v>
      </c>
      <c r="AD374" s="284">
        <f t="shared" si="46"/>
        <v>4.1409214092140927E-2</v>
      </c>
      <c r="AE374" s="361"/>
      <c r="AF374" s="362"/>
      <c r="AG374" s="361"/>
      <c r="AH374" s="362"/>
      <c r="AI374" s="361"/>
    </row>
    <row r="375" spans="1:35" s="199" customFormat="1" ht="47.25">
      <c r="A375" s="182" t="s">
        <v>114</v>
      </c>
      <c r="B375" s="264">
        <v>8</v>
      </c>
      <c r="C375" s="17" t="s">
        <v>31</v>
      </c>
      <c r="D375" s="17" t="s">
        <v>32</v>
      </c>
      <c r="E375" s="17" t="s">
        <v>64</v>
      </c>
      <c r="G375" s="331"/>
      <c r="H375" s="206"/>
      <c r="I375" s="289"/>
      <c r="J375" s="332"/>
      <c r="K375" s="289"/>
      <c r="L375" s="331"/>
      <c r="M375" s="289"/>
      <c r="N375" s="333"/>
      <c r="O375" s="332"/>
      <c r="P375" s="206"/>
      <c r="Q375" s="289"/>
      <c r="R375" s="191"/>
      <c r="S375" s="289"/>
      <c r="T375" s="331"/>
      <c r="U375" s="290" t="s">
        <v>34</v>
      </c>
      <c r="W375" s="196"/>
      <c r="X375" s="191"/>
      <c r="Y375" s="197"/>
      <c r="Z375" s="270"/>
      <c r="AA375" s="268"/>
      <c r="AB375" s="271"/>
      <c r="AC375" s="268"/>
      <c r="AD375" s="272"/>
      <c r="AE375" s="334">
        <v>0</v>
      </c>
      <c r="AF375" s="335">
        <v>0</v>
      </c>
      <c r="AG375" s="334">
        <v>1</v>
      </c>
      <c r="AH375" s="335">
        <v>0</v>
      </c>
      <c r="AI375" s="334">
        <v>1</v>
      </c>
    </row>
    <row r="376" spans="1:35" s="229" customFormat="1" ht="16.5" thickBot="1">
      <c r="A376" s="109"/>
      <c r="B376" s="407" t="s">
        <v>115</v>
      </c>
      <c r="C376" s="111" t="s">
        <v>23</v>
      </c>
      <c r="D376" s="213" t="s">
        <v>24</v>
      </c>
      <c r="E376" s="111" t="s">
        <v>57</v>
      </c>
      <c r="G376" s="341"/>
      <c r="H376" s="235"/>
      <c r="I376" s="292"/>
      <c r="J376" s="342"/>
      <c r="K376" s="292"/>
      <c r="L376" s="341"/>
      <c r="M376" s="292"/>
      <c r="N376" s="343"/>
      <c r="O376" s="342"/>
      <c r="P376" s="235"/>
      <c r="Q376" s="292"/>
      <c r="R376" s="221"/>
      <c r="S376" s="292"/>
      <c r="T376" s="341"/>
      <c r="U376" s="293" t="s">
        <v>34</v>
      </c>
      <c r="W376" s="226"/>
      <c r="X376" s="221"/>
      <c r="Y376" s="227"/>
      <c r="Z376" s="294"/>
      <c r="AA376" s="221"/>
      <c r="AC376" s="221"/>
      <c r="AD376" s="295"/>
      <c r="AE376" s="344">
        <v>0</v>
      </c>
      <c r="AF376" s="345">
        <v>1</v>
      </c>
      <c r="AG376" s="344">
        <v>0</v>
      </c>
      <c r="AH376" s="345">
        <v>0</v>
      </c>
      <c r="AI376" s="344">
        <v>1</v>
      </c>
    </row>
    <row r="377" spans="1:35" ht="16.5" thickTop="1">
      <c r="A377" s="1" t="s">
        <v>116</v>
      </c>
      <c r="B377" s="2">
        <v>6</v>
      </c>
      <c r="C377" s="17" t="s">
        <v>36</v>
      </c>
      <c r="D377" s="17" t="s">
        <v>37</v>
      </c>
      <c r="E377" s="17" t="s">
        <v>25</v>
      </c>
      <c r="F377" s="369" t="s">
        <v>42</v>
      </c>
      <c r="G377" s="347">
        <v>84</v>
      </c>
      <c r="H377" s="348">
        <v>109</v>
      </c>
      <c r="J377" s="370">
        <v>0</v>
      </c>
      <c r="K377" s="349">
        <v>1</v>
      </c>
      <c r="L377" s="347">
        <v>0</v>
      </c>
      <c r="N377" s="369" t="s">
        <v>42</v>
      </c>
      <c r="O377" s="348">
        <v>86</v>
      </c>
      <c r="P377" s="348">
        <v>93</v>
      </c>
      <c r="R377" s="369">
        <v>0</v>
      </c>
      <c r="S377" s="347">
        <v>0</v>
      </c>
      <c r="T377" s="347">
        <v>0</v>
      </c>
      <c r="U377" s="352" t="s">
        <v>34</v>
      </c>
      <c r="V377" s="4" t="s">
        <v>35</v>
      </c>
      <c r="W377" s="134" t="s">
        <v>43</v>
      </c>
      <c r="X377" s="62">
        <f t="shared" ref="X377:X384" si="50">K377/(G377+K377)</f>
        <v>1.1764705882352941E-2</v>
      </c>
      <c r="Y377" s="63">
        <f t="shared" si="42"/>
        <v>0</v>
      </c>
      <c r="Z377" s="64">
        <f t="shared" si="45"/>
        <v>5.8823529411764705E-3</v>
      </c>
      <c r="AA377" s="134" t="s">
        <v>43</v>
      </c>
      <c r="AB377" s="65">
        <f>S377/(O377+S377)</f>
        <v>0</v>
      </c>
      <c r="AC377" s="62">
        <f t="shared" si="44"/>
        <v>0</v>
      </c>
      <c r="AD377" s="66">
        <f t="shared" si="46"/>
        <v>0</v>
      </c>
      <c r="AE377" s="16">
        <v>1</v>
      </c>
      <c r="AF377" s="15">
        <v>0</v>
      </c>
      <c r="AG377" s="16">
        <v>0</v>
      </c>
      <c r="AH377" s="15">
        <v>0</v>
      </c>
      <c r="AI377" s="16">
        <v>0</v>
      </c>
    </row>
    <row r="378" spans="1:35">
      <c r="E378" s="17" t="s">
        <v>28</v>
      </c>
      <c r="F378" s="370" t="s">
        <v>42</v>
      </c>
      <c r="G378" s="347">
        <v>92</v>
      </c>
      <c r="H378" s="348">
        <v>103</v>
      </c>
      <c r="J378" s="370">
        <v>0</v>
      </c>
      <c r="K378" s="349">
        <v>0</v>
      </c>
      <c r="L378" s="347">
        <v>1</v>
      </c>
      <c r="N378" s="370" t="s">
        <v>42</v>
      </c>
      <c r="O378" s="348">
        <v>71</v>
      </c>
      <c r="P378" s="348">
        <v>57</v>
      </c>
      <c r="R378" s="370">
        <v>0</v>
      </c>
      <c r="S378" s="347">
        <v>0</v>
      </c>
      <c r="T378" s="347">
        <v>0</v>
      </c>
      <c r="W378" s="134" t="s">
        <v>43</v>
      </c>
      <c r="X378" s="62">
        <f t="shared" si="50"/>
        <v>0</v>
      </c>
      <c r="Y378" s="63">
        <f t="shared" si="42"/>
        <v>9.6153846153846159E-3</v>
      </c>
      <c r="Z378" s="64">
        <f t="shared" si="45"/>
        <v>4.807692307692308E-3</v>
      </c>
      <c r="AA378" s="134" t="s">
        <v>43</v>
      </c>
      <c r="AB378" s="65">
        <f>S378/(O378+S378)</f>
        <v>0</v>
      </c>
      <c r="AC378" s="62">
        <f t="shared" si="44"/>
        <v>0</v>
      </c>
      <c r="AD378" s="66">
        <f t="shared" si="46"/>
        <v>0</v>
      </c>
    </row>
    <row r="379" spans="1:35">
      <c r="E379" s="17" t="s">
        <v>29</v>
      </c>
      <c r="F379" s="370" t="s">
        <v>42</v>
      </c>
      <c r="G379" s="347">
        <v>74</v>
      </c>
      <c r="H379" s="348">
        <v>72</v>
      </c>
      <c r="J379" s="370">
        <v>0</v>
      </c>
      <c r="K379" s="349">
        <v>0</v>
      </c>
      <c r="L379" s="347">
        <v>0</v>
      </c>
      <c r="N379" s="370" t="s">
        <v>42</v>
      </c>
      <c r="O379" s="348">
        <v>118</v>
      </c>
      <c r="P379" s="348">
        <v>107</v>
      </c>
      <c r="R379" s="370">
        <v>0</v>
      </c>
      <c r="S379" s="347">
        <v>0</v>
      </c>
      <c r="T379" s="347">
        <v>0</v>
      </c>
      <c r="W379" s="134" t="s">
        <v>43</v>
      </c>
      <c r="X379" s="62">
        <f t="shared" si="50"/>
        <v>0</v>
      </c>
      <c r="Y379" s="63">
        <f t="shared" si="42"/>
        <v>0</v>
      </c>
      <c r="Z379" s="64">
        <f t="shared" si="45"/>
        <v>0</v>
      </c>
      <c r="AA379" s="134" t="s">
        <v>43</v>
      </c>
      <c r="AB379" s="65">
        <f>S379/(O379+S379)</f>
        <v>0</v>
      </c>
      <c r="AC379" s="62">
        <f t="shared" si="44"/>
        <v>0</v>
      </c>
      <c r="AD379" s="66">
        <f t="shared" si="46"/>
        <v>0</v>
      </c>
    </row>
    <row r="380" spans="1:35" s="360" customFormat="1">
      <c r="A380" s="75"/>
      <c r="B380" s="76"/>
      <c r="C380" s="77"/>
      <c r="D380" s="77"/>
      <c r="E380" s="77" t="s">
        <v>30</v>
      </c>
      <c r="F380" s="371" t="s">
        <v>42</v>
      </c>
      <c r="G380" s="354">
        <v>67</v>
      </c>
      <c r="H380" s="355">
        <v>55</v>
      </c>
      <c r="I380" s="356"/>
      <c r="J380" s="371">
        <v>0</v>
      </c>
      <c r="K380" s="356">
        <v>0</v>
      </c>
      <c r="L380" s="354">
        <v>0</v>
      </c>
      <c r="M380" s="356"/>
      <c r="N380" s="371" t="s">
        <v>42</v>
      </c>
      <c r="O380" s="355">
        <v>87</v>
      </c>
      <c r="P380" s="355">
        <v>66</v>
      </c>
      <c r="Q380" s="356"/>
      <c r="R380" s="371">
        <v>0</v>
      </c>
      <c r="S380" s="354">
        <v>1</v>
      </c>
      <c r="T380" s="354">
        <v>1</v>
      </c>
      <c r="U380" s="359"/>
      <c r="W380" s="147" t="s">
        <v>43</v>
      </c>
      <c r="X380" s="86">
        <f t="shared" si="50"/>
        <v>0</v>
      </c>
      <c r="Y380" s="87">
        <f t="shared" si="42"/>
        <v>0</v>
      </c>
      <c r="Z380" s="283">
        <f t="shared" si="45"/>
        <v>0</v>
      </c>
      <c r="AA380" s="147" t="s">
        <v>43</v>
      </c>
      <c r="AB380" s="89">
        <f>S380/(O380+S380)</f>
        <v>1.1363636363636364E-2</v>
      </c>
      <c r="AC380" s="86">
        <f t="shared" si="44"/>
        <v>1.4925373134328358E-2</v>
      </c>
      <c r="AD380" s="284">
        <f t="shared" si="46"/>
        <v>1.314450474898236E-2</v>
      </c>
      <c r="AE380" s="361"/>
      <c r="AF380" s="362"/>
      <c r="AG380" s="361"/>
      <c r="AH380" s="362"/>
      <c r="AI380" s="361"/>
    </row>
    <row r="381" spans="1:35">
      <c r="B381" s="2">
        <v>11</v>
      </c>
      <c r="C381" s="17" t="s">
        <v>36</v>
      </c>
      <c r="D381" s="17" t="s">
        <v>37</v>
      </c>
      <c r="E381" s="17" t="s">
        <v>25</v>
      </c>
      <c r="F381" s="369" t="s">
        <v>42</v>
      </c>
      <c r="G381" s="347">
        <v>16</v>
      </c>
      <c r="H381" s="369" t="s">
        <v>42</v>
      </c>
      <c r="J381" s="370">
        <v>0</v>
      </c>
      <c r="K381" s="349">
        <v>0</v>
      </c>
      <c r="L381" s="370">
        <v>0</v>
      </c>
      <c r="N381" s="347">
        <v>25</v>
      </c>
      <c r="O381" s="369" t="s">
        <v>42</v>
      </c>
      <c r="P381" s="369" t="s">
        <v>42</v>
      </c>
      <c r="R381" s="347">
        <v>0</v>
      </c>
      <c r="S381" s="369">
        <v>0</v>
      </c>
      <c r="T381" s="369">
        <v>0</v>
      </c>
      <c r="U381" s="372" t="s">
        <v>34</v>
      </c>
      <c r="V381" s="4" t="s">
        <v>35</v>
      </c>
      <c r="W381" s="134" t="s">
        <v>43</v>
      </c>
      <c r="X381" s="62">
        <f t="shared" si="50"/>
        <v>0</v>
      </c>
      <c r="Y381" s="134" t="s">
        <v>43</v>
      </c>
      <c r="Z381" s="64">
        <f t="shared" si="45"/>
        <v>0</v>
      </c>
      <c r="AA381" s="62">
        <f>R381/(N381+R381)</f>
        <v>0</v>
      </c>
      <c r="AB381" s="134" t="s">
        <v>43</v>
      </c>
      <c r="AC381" s="134" t="s">
        <v>43</v>
      </c>
      <c r="AD381" s="66">
        <f t="shared" si="46"/>
        <v>0</v>
      </c>
      <c r="AE381" s="16">
        <v>1</v>
      </c>
      <c r="AF381" s="15">
        <v>0</v>
      </c>
      <c r="AG381" s="16">
        <v>0</v>
      </c>
      <c r="AH381" s="15">
        <v>0</v>
      </c>
      <c r="AI381" s="16">
        <v>0</v>
      </c>
    </row>
    <row r="382" spans="1:35">
      <c r="E382" s="17" t="s">
        <v>28</v>
      </c>
      <c r="F382" s="370" t="s">
        <v>42</v>
      </c>
      <c r="G382" s="347">
        <v>29</v>
      </c>
      <c r="H382" s="370" t="s">
        <v>42</v>
      </c>
      <c r="J382" s="370">
        <v>0</v>
      </c>
      <c r="K382" s="349">
        <v>1</v>
      </c>
      <c r="L382" s="370">
        <v>0</v>
      </c>
      <c r="N382" s="347">
        <v>30</v>
      </c>
      <c r="O382" s="370" t="s">
        <v>42</v>
      </c>
      <c r="P382" s="370" t="s">
        <v>42</v>
      </c>
      <c r="R382" s="347">
        <v>0</v>
      </c>
      <c r="S382" s="370">
        <v>0</v>
      </c>
      <c r="T382" s="370">
        <v>0</v>
      </c>
      <c r="U382" s="373"/>
      <c r="W382" s="134" t="s">
        <v>43</v>
      </c>
      <c r="X382" s="62">
        <f t="shared" si="50"/>
        <v>3.3333333333333333E-2</v>
      </c>
      <c r="Y382" s="134" t="s">
        <v>43</v>
      </c>
      <c r="Z382" s="64">
        <f t="shared" si="45"/>
        <v>3.3333333333333333E-2</v>
      </c>
      <c r="AA382" s="62">
        <f>R382/(N382+R382)</f>
        <v>0</v>
      </c>
      <c r="AB382" s="134" t="s">
        <v>43</v>
      </c>
      <c r="AC382" s="134" t="s">
        <v>43</v>
      </c>
      <c r="AD382" s="66">
        <f t="shared" si="46"/>
        <v>0</v>
      </c>
    </row>
    <row r="383" spans="1:35">
      <c r="E383" s="17" t="s">
        <v>29</v>
      </c>
      <c r="F383" s="370" t="s">
        <v>42</v>
      </c>
      <c r="G383" s="347">
        <v>25</v>
      </c>
      <c r="H383" s="370" t="s">
        <v>42</v>
      </c>
      <c r="J383" s="370">
        <v>0</v>
      </c>
      <c r="K383" s="349">
        <v>0</v>
      </c>
      <c r="L383" s="370">
        <v>0</v>
      </c>
      <c r="N383" s="347">
        <v>51</v>
      </c>
      <c r="O383" s="370" t="s">
        <v>42</v>
      </c>
      <c r="P383" s="370" t="s">
        <v>42</v>
      </c>
      <c r="R383" s="347">
        <v>2</v>
      </c>
      <c r="S383" s="370">
        <v>0</v>
      </c>
      <c r="T383" s="370">
        <v>0</v>
      </c>
      <c r="U383" s="373"/>
      <c r="W383" s="134" t="s">
        <v>43</v>
      </c>
      <c r="X383" s="62">
        <f t="shared" si="50"/>
        <v>0</v>
      </c>
      <c r="Y383" s="134" t="s">
        <v>43</v>
      </c>
      <c r="Z383" s="64">
        <f t="shared" si="45"/>
        <v>0</v>
      </c>
      <c r="AA383" s="62">
        <f>R383/(N383+R383)</f>
        <v>3.7735849056603772E-2</v>
      </c>
      <c r="AB383" s="134" t="s">
        <v>43</v>
      </c>
      <c r="AC383" s="134" t="s">
        <v>43</v>
      </c>
      <c r="AD383" s="66">
        <f t="shared" si="46"/>
        <v>3.7735849056603772E-2</v>
      </c>
    </row>
    <row r="384" spans="1:35" s="360" customFormat="1">
      <c r="A384" s="75"/>
      <c r="B384" s="76"/>
      <c r="C384" s="77"/>
      <c r="D384" s="77"/>
      <c r="E384" s="77" t="s">
        <v>30</v>
      </c>
      <c r="F384" s="371" t="s">
        <v>42</v>
      </c>
      <c r="G384" s="354">
        <v>34</v>
      </c>
      <c r="H384" s="371" t="s">
        <v>42</v>
      </c>
      <c r="I384" s="356"/>
      <c r="J384" s="371">
        <v>0</v>
      </c>
      <c r="K384" s="356">
        <v>0</v>
      </c>
      <c r="L384" s="371">
        <v>0</v>
      </c>
      <c r="M384" s="356"/>
      <c r="N384" s="354">
        <v>47</v>
      </c>
      <c r="O384" s="371" t="s">
        <v>42</v>
      </c>
      <c r="P384" s="371" t="s">
        <v>42</v>
      </c>
      <c r="Q384" s="356"/>
      <c r="R384" s="354">
        <v>1</v>
      </c>
      <c r="S384" s="371">
        <v>0</v>
      </c>
      <c r="T384" s="371">
        <v>0</v>
      </c>
      <c r="U384" s="374"/>
      <c r="W384" s="147" t="s">
        <v>43</v>
      </c>
      <c r="X384" s="86">
        <f t="shared" si="50"/>
        <v>0</v>
      </c>
      <c r="Y384" s="147" t="s">
        <v>43</v>
      </c>
      <c r="Z384" s="285">
        <f t="shared" si="45"/>
        <v>0</v>
      </c>
      <c r="AA384" s="86">
        <f>R384/(N384+R384)</f>
        <v>2.0833333333333332E-2</v>
      </c>
      <c r="AB384" s="147" t="s">
        <v>43</v>
      </c>
      <c r="AC384" s="147" t="s">
        <v>43</v>
      </c>
      <c r="AD384" s="284">
        <f t="shared" si="46"/>
        <v>2.0833333333333332E-2</v>
      </c>
      <c r="AE384" s="361"/>
      <c r="AF384" s="362"/>
      <c r="AG384" s="361"/>
      <c r="AH384" s="362"/>
      <c r="AI384" s="361"/>
    </row>
    <row r="385" spans="1:37" s="199" customFormat="1" ht="47.25">
      <c r="A385" s="182" t="s">
        <v>117</v>
      </c>
      <c r="B385" s="2">
        <v>5</v>
      </c>
      <c r="C385" s="17" t="s">
        <v>23</v>
      </c>
      <c r="D385" s="126" t="s">
        <v>24</v>
      </c>
      <c r="E385" s="17" t="s">
        <v>53</v>
      </c>
      <c r="G385" s="331"/>
      <c r="H385" s="206"/>
      <c r="I385" s="289"/>
      <c r="J385" s="332"/>
      <c r="K385" s="289"/>
      <c r="L385" s="331"/>
      <c r="M385" s="289"/>
      <c r="N385" s="333"/>
      <c r="O385" s="332"/>
      <c r="P385" s="206"/>
      <c r="Q385" s="289"/>
      <c r="R385" s="191"/>
      <c r="S385" s="289"/>
      <c r="T385" s="331"/>
      <c r="U385" s="290" t="s">
        <v>34</v>
      </c>
      <c r="W385" s="196"/>
      <c r="X385" s="191"/>
      <c r="Y385" s="197"/>
      <c r="Z385" s="270"/>
      <c r="AA385" s="268"/>
      <c r="AB385" s="271"/>
      <c r="AC385" s="268"/>
      <c r="AD385" s="272"/>
      <c r="AE385" s="334">
        <v>0</v>
      </c>
      <c r="AF385" s="335">
        <v>1</v>
      </c>
      <c r="AG385" s="334">
        <v>0</v>
      </c>
      <c r="AH385" s="335">
        <v>0</v>
      </c>
      <c r="AI385" s="334">
        <v>1</v>
      </c>
    </row>
    <row r="386" spans="1:37" s="199" customFormat="1">
      <c r="A386" s="338"/>
      <c r="B386" s="377">
        <v>6</v>
      </c>
      <c r="C386" s="17" t="s">
        <v>23</v>
      </c>
      <c r="D386" s="126" t="s">
        <v>24</v>
      </c>
      <c r="E386" s="339" t="s">
        <v>57</v>
      </c>
      <c r="G386" s="331"/>
      <c r="H386" s="206"/>
      <c r="I386" s="289"/>
      <c r="J386" s="332"/>
      <c r="K386" s="289"/>
      <c r="L386" s="331"/>
      <c r="M386" s="289"/>
      <c r="N386" s="333"/>
      <c r="O386" s="332"/>
      <c r="P386" s="206"/>
      <c r="Q386" s="289"/>
      <c r="R386" s="191"/>
      <c r="S386" s="289"/>
      <c r="T386" s="331"/>
      <c r="U386" s="290" t="s">
        <v>34</v>
      </c>
      <c r="W386" s="196"/>
      <c r="X386" s="191"/>
      <c r="Y386" s="197"/>
      <c r="Z386" s="336"/>
      <c r="AA386" s="191"/>
      <c r="AC386" s="191"/>
      <c r="AD386" s="337"/>
      <c r="AE386" s="334">
        <v>0</v>
      </c>
      <c r="AF386" s="335">
        <v>1</v>
      </c>
      <c r="AG386" s="334">
        <v>0</v>
      </c>
      <c r="AH386" s="335">
        <v>0</v>
      </c>
      <c r="AI386" s="334">
        <v>1</v>
      </c>
    </row>
    <row r="387" spans="1:37" s="229" customFormat="1" ht="16.5" thickBot="1">
      <c r="A387" s="109"/>
      <c r="B387" s="110">
        <v>10</v>
      </c>
      <c r="C387" s="111" t="s">
        <v>31</v>
      </c>
      <c r="D387" s="111" t="s">
        <v>32</v>
      </c>
      <c r="E387" s="111" t="s">
        <v>53</v>
      </c>
      <c r="G387" s="341"/>
      <c r="H387" s="235"/>
      <c r="I387" s="292"/>
      <c r="J387" s="342"/>
      <c r="K387" s="292"/>
      <c r="L387" s="341"/>
      <c r="M387" s="292"/>
      <c r="N387" s="343"/>
      <c r="O387" s="342"/>
      <c r="P387" s="235"/>
      <c r="Q387" s="292"/>
      <c r="R387" s="221"/>
      <c r="S387" s="292"/>
      <c r="T387" s="341"/>
      <c r="U387" s="293" t="s">
        <v>34</v>
      </c>
      <c r="W387" s="226"/>
      <c r="X387" s="221"/>
      <c r="Y387" s="227"/>
      <c r="Z387" s="294"/>
      <c r="AA387" s="221"/>
      <c r="AC387" s="221"/>
      <c r="AD387" s="295"/>
      <c r="AE387" s="344">
        <v>0</v>
      </c>
      <c r="AF387" s="345">
        <v>1</v>
      </c>
      <c r="AG387" s="344">
        <v>0</v>
      </c>
      <c r="AH387" s="345">
        <v>0</v>
      </c>
      <c r="AI387" s="344">
        <v>1</v>
      </c>
    </row>
    <row r="388" spans="1:37" ht="16.5" thickTop="1">
      <c r="A388" s="1" t="s">
        <v>118</v>
      </c>
      <c r="B388" s="2" t="s">
        <v>139</v>
      </c>
      <c r="C388" s="17" t="s">
        <v>41</v>
      </c>
      <c r="D388" s="126" t="s">
        <v>24</v>
      </c>
      <c r="E388" s="17" t="s">
        <v>25</v>
      </c>
      <c r="F388" s="11">
        <v>14</v>
      </c>
      <c r="G388" s="347">
        <v>9</v>
      </c>
      <c r="H388" s="348">
        <v>11</v>
      </c>
      <c r="J388" s="350">
        <v>0</v>
      </c>
      <c r="K388" s="349">
        <f>(9+6)/2</f>
        <v>7.5</v>
      </c>
      <c r="L388" s="347">
        <f>(0+1)/2</f>
        <v>0.5</v>
      </c>
      <c r="N388" s="351">
        <v>12</v>
      </c>
      <c r="O388" s="350">
        <v>7</v>
      </c>
      <c r="P388" s="348">
        <v>11</v>
      </c>
      <c r="R388" s="346">
        <f>(10+3)/2</f>
        <v>6.5</v>
      </c>
      <c r="S388" s="349">
        <f>(8+0)/2</f>
        <v>4</v>
      </c>
      <c r="T388" s="347">
        <f>(17+2)/2</f>
        <v>9.5</v>
      </c>
      <c r="U388" s="352" t="s">
        <v>34</v>
      </c>
      <c r="V388" s="4" t="s">
        <v>35</v>
      </c>
      <c r="W388" s="61">
        <f>J388/(F388+J388)</f>
        <v>0</v>
      </c>
      <c r="X388" s="62">
        <f>K388/(G388+K388)</f>
        <v>0.45454545454545453</v>
      </c>
      <c r="Y388" s="63">
        <f t="shared" si="42"/>
        <v>4.3478260869565216E-2</v>
      </c>
      <c r="Z388" s="64">
        <f t="shared" si="45"/>
        <v>0.16600790513833993</v>
      </c>
      <c r="AA388" s="62">
        <f t="shared" ref="AA388:AB391" si="51">R388/(N388+R388)</f>
        <v>0.35135135135135137</v>
      </c>
      <c r="AB388" s="65">
        <f t="shared" si="51"/>
        <v>0.36363636363636365</v>
      </c>
      <c r="AC388" s="62">
        <f t="shared" si="44"/>
        <v>0.46341463414634149</v>
      </c>
      <c r="AD388" s="64">
        <f t="shared" si="46"/>
        <v>0.39280078304468552</v>
      </c>
      <c r="AE388" s="16">
        <v>1</v>
      </c>
      <c r="AF388" s="15">
        <v>0</v>
      </c>
      <c r="AG388" s="16">
        <v>0</v>
      </c>
      <c r="AH388" s="15">
        <v>1</v>
      </c>
      <c r="AI388" s="16">
        <v>0</v>
      </c>
    </row>
    <row r="389" spans="1:37">
      <c r="E389" s="17" t="s">
        <v>28</v>
      </c>
      <c r="F389" s="11">
        <v>10</v>
      </c>
      <c r="G389" s="347">
        <v>13</v>
      </c>
      <c r="H389" s="348">
        <v>13</v>
      </c>
      <c r="J389" s="350">
        <f>(10+2)/2</f>
        <v>6</v>
      </c>
      <c r="K389" s="349">
        <f>(13+2)/2</f>
        <v>7.5</v>
      </c>
      <c r="L389" s="347">
        <v>0</v>
      </c>
      <c r="N389" s="351">
        <v>20</v>
      </c>
      <c r="O389" s="350">
        <v>9</v>
      </c>
      <c r="P389" s="348">
        <v>12</v>
      </c>
      <c r="R389" s="346">
        <f>(5+4)/2</f>
        <v>4.5</v>
      </c>
      <c r="S389" s="349">
        <f>(2+2)/2</f>
        <v>2</v>
      </c>
      <c r="T389" s="347">
        <f>(3+2)/2</f>
        <v>2.5</v>
      </c>
      <c r="W389" s="61">
        <f>J389/(F389+J389)</f>
        <v>0.375</v>
      </c>
      <c r="X389" s="62">
        <f>K389/(G389+K389)</f>
        <v>0.36585365853658536</v>
      </c>
      <c r="Y389" s="63">
        <f t="shared" si="42"/>
        <v>0</v>
      </c>
      <c r="Z389" s="64">
        <f t="shared" si="45"/>
        <v>0.24695121951219512</v>
      </c>
      <c r="AA389" s="62">
        <f t="shared" si="51"/>
        <v>0.18367346938775511</v>
      </c>
      <c r="AB389" s="65">
        <f t="shared" si="51"/>
        <v>0.18181818181818182</v>
      </c>
      <c r="AC389" s="62">
        <f t="shared" si="44"/>
        <v>0.17241379310344829</v>
      </c>
      <c r="AD389" s="64">
        <f t="shared" si="46"/>
        <v>0.17930181476979509</v>
      </c>
    </row>
    <row r="390" spans="1:37">
      <c r="E390" s="17" t="s">
        <v>29</v>
      </c>
      <c r="F390" s="11">
        <v>8</v>
      </c>
      <c r="G390" s="347">
        <v>12</v>
      </c>
      <c r="H390" s="348">
        <v>8</v>
      </c>
      <c r="J390" s="350">
        <v>0</v>
      </c>
      <c r="K390" s="349">
        <f>(6+0)/2</f>
        <v>3</v>
      </c>
      <c r="L390" s="347">
        <f>(4+2)/2</f>
        <v>3</v>
      </c>
      <c r="N390" s="351">
        <v>11</v>
      </c>
      <c r="O390" s="350">
        <v>16</v>
      </c>
      <c r="P390" s="348">
        <v>11</v>
      </c>
      <c r="R390" s="346">
        <f>(10+0)/2</f>
        <v>5</v>
      </c>
      <c r="S390" s="349">
        <v>0</v>
      </c>
      <c r="T390" s="347">
        <f>(7+7)/2</f>
        <v>7</v>
      </c>
      <c r="W390" s="61">
        <f t="shared" ref="W390:Y399" si="52">J390/(F390+J390)</f>
        <v>0</v>
      </c>
      <c r="X390" s="62">
        <f t="shared" si="52"/>
        <v>0.2</v>
      </c>
      <c r="Y390" s="63">
        <f t="shared" si="42"/>
        <v>0.27272727272727271</v>
      </c>
      <c r="Z390" s="64">
        <f t="shared" si="45"/>
        <v>0.15757575757575756</v>
      </c>
      <c r="AA390" s="62">
        <f t="shared" si="51"/>
        <v>0.3125</v>
      </c>
      <c r="AB390" s="65">
        <f t="shared" si="51"/>
        <v>0</v>
      </c>
      <c r="AC390" s="62">
        <f t="shared" si="44"/>
        <v>0.3888888888888889</v>
      </c>
      <c r="AD390" s="64">
        <f t="shared" si="46"/>
        <v>0.23379629629629628</v>
      </c>
    </row>
    <row r="391" spans="1:37" s="360" customFormat="1">
      <c r="A391" s="75"/>
      <c r="B391" s="76"/>
      <c r="C391" s="77"/>
      <c r="D391" s="77"/>
      <c r="E391" s="77" t="s">
        <v>30</v>
      </c>
      <c r="F391" s="360">
        <v>10</v>
      </c>
      <c r="G391" s="354">
        <v>10</v>
      </c>
      <c r="H391" s="355">
        <v>1</v>
      </c>
      <c r="I391" s="356"/>
      <c r="J391" s="357">
        <v>0</v>
      </c>
      <c r="K391" s="356">
        <f>(0+5)/2</f>
        <v>2.5</v>
      </c>
      <c r="L391" s="354">
        <f>(4+0)/2</f>
        <v>2</v>
      </c>
      <c r="M391" s="356"/>
      <c r="N391" s="358">
        <v>28</v>
      </c>
      <c r="O391" s="357">
        <v>13</v>
      </c>
      <c r="P391" s="355">
        <v>16</v>
      </c>
      <c r="Q391" s="356"/>
      <c r="R391" s="353">
        <f>(2+3)/2</f>
        <v>2.5</v>
      </c>
      <c r="S391" s="356">
        <f>(6+1)/2</f>
        <v>3.5</v>
      </c>
      <c r="T391" s="354">
        <f>(4+0)/2</f>
        <v>2</v>
      </c>
      <c r="U391" s="359"/>
      <c r="W391" s="85">
        <f t="shared" si="52"/>
        <v>0</v>
      </c>
      <c r="X391" s="86">
        <f t="shared" si="52"/>
        <v>0.2</v>
      </c>
      <c r="Y391" s="86">
        <f t="shared" si="52"/>
        <v>0.66666666666666663</v>
      </c>
      <c r="Z391" s="285">
        <f t="shared" si="45"/>
        <v>0.28888888888888892</v>
      </c>
      <c r="AA391" s="86">
        <f t="shared" si="51"/>
        <v>8.1967213114754092E-2</v>
      </c>
      <c r="AB391" s="89">
        <f t="shared" si="51"/>
        <v>0.21212121212121213</v>
      </c>
      <c r="AC391" s="86">
        <f t="shared" si="44"/>
        <v>0.1111111111111111</v>
      </c>
      <c r="AD391" s="425">
        <f t="shared" si="46"/>
        <v>0.13506651211569246</v>
      </c>
      <c r="AE391" s="361"/>
      <c r="AF391" s="362"/>
      <c r="AG391" s="361"/>
      <c r="AH391" s="362"/>
      <c r="AI391" s="361"/>
    </row>
    <row r="392" spans="1:37">
      <c r="B392" s="2" t="s">
        <v>140</v>
      </c>
      <c r="C392" s="17" t="s">
        <v>23</v>
      </c>
      <c r="D392" s="126" t="s">
        <v>24</v>
      </c>
      <c r="E392" s="17" t="s">
        <v>25</v>
      </c>
      <c r="F392" s="11">
        <v>14</v>
      </c>
      <c r="G392" s="347">
        <v>9</v>
      </c>
      <c r="H392" s="348">
        <v>11</v>
      </c>
      <c r="J392" s="350">
        <v>0</v>
      </c>
      <c r="K392" s="349">
        <f>(0+1)/2</f>
        <v>0.5</v>
      </c>
      <c r="L392" s="347">
        <f>(1+0)/2</f>
        <v>0.5</v>
      </c>
      <c r="N392" s="369" t="s">
        <v>42</v>
      </c>
      <c r="O392" s="350">
        <v>7</v>
      </c>
      <c r="P392" s="348">
        <v>11</v>
      </c>
      <c r="R392" s="369">
        <v>0</v>
      </c>
      <c r="S392" s="349">
        <v>0</v>
      </c>
      <c r="T392" s="347">
        <v>0</v>
      </c>
      <c r="U392" s="352" t="s">
        <v>34</v>
      </c>
      <c r="V392" s="4" t="s">
        <v>35</v>
      </c>
      <c r="W392" s="61">
        <f t="shared" si="52"/>
        <v>0</v>
      </c>
      <c r="X392" s="62">
        <f t="shared" si="52"/>
        <v>5.2631578947368418E-2</v>
      </c>
      <c r="Y392" s="63">
        <f t="shared" si="52"/>
        <v>4.3478260869565216E-2</v>
      </c>
      <c r="Z392" s="64">
        <f t="shared" si="45"/>
        <v>3.2036613272311214E-2</v>
      </c>
      <c r="AA392" s="134" t="s">
        <v>43</v>
      </c>
      <c r="AB392" s="65">
        <f>S392/(O392+S392)</f>
        <v>0</v>
      </c>
      <c r="AC392" s="62">
        <f t="shared" si="44"/>
        <v>0</v>
      </c>
      <c r="AD392" s="66">
        <f t="shared" si="46"/>
        <v>0</v>
      </c>
      <c r="AE392" s="16">
        <v>1</v>
      </c>
      <c r="AF392" s="15">
        <v>0</v>
      </c>
      <c r="AG392" s="16">
        <v>0</v>
      </c>
      <c r="AH392" s="15">
        <v>0</v>
      </c>
      <c r="AI392" s="16">
        <v>0</v>
      </c>
    </row>
    <row r="393" spans="1:37">
      <c r="E393" s="17" t="s">
        <v>28</v>
      </c>
      <c r="F393" s="11">
        <v>10</v>
      </c>
      <c r="G393" s="347">
        <v>13</v>
      </c>
      <c r="H393" s="348">
        <v>13</v>
      </c>
      <c r="J393" s="350">
        <f>(1+0)/2</f>
        <v>0.5</v>
      </c>
      <c r="K393" s="349">
        <v>0</v>
      </c>
      <c r="L393" s="347">
        <f>(0+1)/2</f>
        <v>0.5</v>
      </c>
      <c r="N393" s="370" t="s">
        <v>42</v>
      </c>
      <c r="O393" s="350">
        <v>9</v>
      </c>
      <c r="P393" s="348">
        <v>12</v>
      </c>
      <c r="R393" s="370">
        <v>0</v>
      </c>
      <c r="S393" s="349">
        <f>(1+0)/2</f>
        <v>0.5</v>
      </c>
      <c r="T393" s="347">
        <f>(1+1)/2</f>
        <v>1</v>
      </c>
      <c r="W393" s="61">
        <f t="shared" si="52"/>
        <v>4.7619047619047616E-2</v>
      </c>
      <c r="X393" s="62">
        <f t="shared" si="52"/>
        <v>0</v>
      </c>
      <c r="Y393" s="63">
        <f t="shared" si="52"/>
        <v>3.7037037037037035E-2</v>
      </c>
      <c r="Z393" s="64">
        <f t="shared" si="45"/>
        <v>2.821869488536155E-2</v>
      </c>
      <c r="AA393" s="134" t="s">
        <v>43</v>
      </c>
      <c r="AB393" s="65">
        <f>S393/(O393+S393)</f>
        <v>5.2631578947368418E-2</v>
      </c>
      <c r="AC393" s="62">
        <f t="shared" si="44"/>
        <v>7.6923076923076927E-2</v>
      </c>
      <c r="AD393" s="66">
        <f t="shared" si="46"/>
        <v>6.4777327935222673E-2</v>
      </c>
    </row>
    <row r="394" spans="1:37">
      <c r="E394" s="17" t="s">
        <v>29</v>
      </c>
      <c r="F394" s="11">
        <v>8</v>
      </c>
      <c r="G394" s="347">
        <v>12</v>
      </c>
      <c r="H394" s="348">
        <v>8</v>
      </c>
      <c r="J394" s="350">
        <f>(1+0)/2</f>
        <v>0.5</v>
      </c>
      <c r="K394" s="349">
        <v>0</v>
      </c>
      <c r="L394" s="347">
        <v>0</v>
      </c>
      <c r="N394" s="370" t="s">
        <v>42</v>
      </c>
      <c r="O394" s="350">
        <v>16</v>
      </c>
      <c r="P394" s="348">
        <v>11</v>
      </c>
      <c r="R394" s="370">
        <v>0</v>
      </c>
      <c r="S394" s="349">
        <f>(1+0)/2</f>
        <v>0.5</v>
      </c>
      <c r="T394" s="347">
        <v>0</v>
      </c>
      <c r="W394" s="61">
        <f t="shared" si="52"/>
        <v>5.8823529411764705E-2</v>
      </c>
      <c r="X394" s="62">
        <f t="shared" si="52"/>
        <v>0</v>
      </c>
      <c r="Y394" s="63">
        <f t="shared" si="52"/>
        <v>0</v>
      </c>
      <c r="Z394" s="64">
        <f t="shared" si="45"/>
        <v>1.9607843137254902E-2</v>
      </c>
      <c r="AA394" s="134" t="s">
        <v>43</v>
      </c>
      <c r="AB394" s="65">
        <f>S394/(O394+S394)</f>
        <v>3.0303030303030304E-2</v>
      </c>
      <c r="AC394" s="62">
        <f t="shared" si="44"/>
        <v>0</v>
      </c>
      <c r="AD394" s="66">
        <f t="shared" si="46"/>
        <v>1.5151515151515152E-2</v>
      </c>
    </row>
    <row r="395" spans="1:37" s="360" customFormat="1">
      <c r="A395" s="75"/>
      <c r="B395" s="76"/>
      <c r="C395" s="77"/>
      <c r="D395" s="77"/>
      <c r="E395" s="77" t="s">
        <v>30</v>
      </c>
      <c r="F395" s="360">
        <v>10</v>
      </c>
      <c r="G395" s="354">
        <v>10</v>
      </c>
      <c r="H395" s="355">
        <v>1</v>
      </c>
      <c r="I395" s="356"/>
      <c r="J395" s="357">
        <v>0</v>
      </c>
      <c r="K395" s="356">
        <v>0</v>
      </c>
      <c r="L395" s="354">
        <f>(1+1)/2</f>
        <v>1</v>
      </c>
      <c r="M395" s="356"/>
      <c r="N395" s="371" t="s">
        <v>42</v>
      </c>
      <c r="O395" s="357">
        <v>13</v>
      </c>
      <c r="P395" s="355">
        <v>16</v>
      </c>
      <c r="Q395" s="356"/>
      <c r="R395" s="371">
        <v>0</v>
      </c>
      <c r="S395" s="356">
        <f>(0+1)/2</f>
        <v>0.5</v>
      </c>
      <c r="T395" s="354">
        <f>(0+1)/2</f>
        <v>0.5</v>
      </c>
      <c r="U395" s="359"/>
      <c r="W395" s="85">
        <f t="shared" si="52"/>
        <v>0</v>
      </c>
      <c r="X395" s="86">
        <f t="shared" si="52"/>
        <v>0</v>
      </c>
      <c r="Y395" s="87">
        <f t="shared" si="52"/>
        <v>0.5</v>
      </c>
      <c r="Z395" s="283">
        <f t="shared" si="45"/>
        <v>0.16666666666666666</v>
      </c>
      <c r="AA395" s="147" t="s">
        <v>43</v>
      </c>
      <c r="AB395" s="89">
        <f>S395/(O395+S395)</f>
        <v>3.7037037037037035E-2</v>
      </c>
      <c r="AC395" s="86">
        <f t="shared" si="44"/>
        <v>3.0303030303030304E-2</v>
      </c>
      <c r="AD395" s="284">
        <f t="shared" si="46"/>
        <v>3.3670033670033669E-2</v>
      </c>
      <c r="AE395" s="361"/>
      <c r="AF395" s="362"/>
      <c r="AG395" s="361"/>
      <c r="AH395" s="362"/>
      <c r="AI395" s="361"/>
    </row>
    <row r="396" spans="1:37">
      <c r="B396" s="2">
        <v>4</v>
      </c>
      <c r="C396" s="17" t="s">
        <v>23</v>
      </c>
      <c r="D396" s="126" t="s">
        <v>24</v>
      </c>
      <c r="E396" s="17" t="s">
        <v>25</v>
      </c>
      <c r="F396" s="11">
        <f>(13+19)/2</f>
        <v>16</v>
      </c>
      <c r="G396" s="369" t="s">
        <v>42</v>
      </c>
      <c r="H396" s="348">
        <f>(14+21)/2</f>
        <v>17.5</v>
      </c>
      <c r="J396" s="350">
        <v>0</v>
      </c>
      <c r="K396" s="370">
        <v>0</v>
      </c>
      <c r="L396" s="347">
        <v>1</v>
      </c>
      <c r="N396" s="369" t="s">
        <v>42</v>
      </c>
      <c r="O396" s="378" t="s">
        <v>42</v>
      </c>
      <c r="P396" s="378" t="s">
        <v>42</v>
      </c>
      <c r="R396" s="369">
        <v>0</v>
      </c>
      <c r="S396" s="378">
        <v>0</v>
      </c>
      <c r="T396" s="378">
        <v>0</v>
      </c>
      <c r="U396" s="372" t="s">
        <v>34</v>
      </c>
      <c r="V396" s="4" t="s">
        <v>35</v>
      </c>
      <c r="W396" s="61">
        <f t="shared" si="52"/>
        <v>0</v>
      </c>
      <c r="X396" s="134" t="s">
        <v>43</v>
      </c>
      <c r="Y396" s="63">
        <f t="shared" si="52"/>
        <v>5.4054054054054057E-2</v>
      </c>
      <c r="Z396" s="64">
        <f t="shared" si="45"/>
        <v>2.7027027027027029E-2</v>
      </c>
      <c r="AA396" s="134" t="s">
        <v>43</v>
      </c>
      <c r="AB396" s="134" t="s">
        <v>43</v>
      </c>
      <c r="AC396" s="134" t="s">
        <v>43</v>
      </c>
      <c r="AD396" s="66"/>
      <c r="AE396" s="16">
        <v>0</v>
      </c>
      <c r="AF396" s="15">
        <v>1</v>
      </c>
      <c r="AG396" s="16">
        <v>0</v>
      </c>
      <c r="AH396" s="15">
        <v>0</v>
      </c>
      <c r="AI396" s="16">
        <v>0</v>
      </c>
    </row>
    <row r="397" spans="1:37">
      <c r="E397" s="17" t="s">
        <v>28</v>
      </c>
      <c r="F397" s="11">
        <f>(19+19)/2</f>
        <v>19</v>
      </c>
      <c r="G397" s="370" t="s">
        <v>42</v>
      </c>
      <c r="H397" s="348">
        <f>(18+13)/2</f>
        <v>15.5</v>
      </c>
      <c r="J397" s="350">
        <v>1</v>
      </c>
      <c r="K397" s="370">
        <v>0</v>
      </c>
      <c r="L397" s="347">
        <v>1</v>
      </c>
      <c r="N397" s="370" t="s">
        <v>42</v>
      </c>
      <c r="O397" s="379" t="s">
        <v>42</v>
      </c>
      <c r="P397" s="379" t="s">
        <v>42</v>
      </c>
      <c r="R397" s="370">
        <v>0</v>
      </c>
      <c r="S397" s="379">
        <v>0</v>
      </c>
      <c r="T397" s="379">
        <v>0</v>
      </c>
      <c r="U397" s="373"/>
      <c r="W397" s="61">
        <f t="shared" si="52"/>
        <v>0.05</v>
      </c>
      <c r="X397" s="134" t="s">
        <v>43</v>
      </c>
      <c r="Y397" s="63">
        <f t="shared" si="52"/>
        <v>6.0606060606060608E-2</v>
      </c>
      <c r="Z397" s="64">
        <f t="shared" si="45"/>
        <v>5.5303030303030305E-2</v>
      </c>
      <c r="AA397" s="134" t="s">
        <v>43</v>
      </c>
      <c r="AB397" s="134" t="s">
        <v>43</v>
      </c>
      <c r="AC397" s="134" t="s">
        <v>43</v>
      </c>
      <c r="AD397" s="66"/>
    </row>
    <row r="398" spans="1:37">
      <c r="E398" s="17" t="s">
        <v>29</v>
      </c>
      <c r="F398" s="11">
        <f>(44+10)/2</f>
        <v>27</v>
      </c>
      <c r="G398" s="370" t="s">
        <v>42</v>
      </c>
      <c r="H398" s="348">
        <f>(47+12)/2</f>
        <v>29.5</v>
      </c>
      <c r="J398" s="350">
        <v>0</v>
      </c>
      <c r="K398" s="370">
        <v>0</v>
      </c>
      <c r="L398" s="347">
        <v>0</v>
      </c>
      <c r="N398" s="370" t="s">
        <v>42</v>
      </c>
      <c r="O398" s="379" t="s">
        <v>42</v>
      </c>
      <c r="P398" s="379" t="s">
        <v>42</v>
      </c>
      <c r="R398" s="370">
        <v>0</v>
      </c>
      <c r="S398" s="379">
        <v>0</v>
      </c>
      <c r="T398" s="379">
        <v>0</v>
      </c>
      <c r="U398" s="373"/>
      <c r="W398" s="61">
        <f t="shared" si="52"/>
        <v>0</v>
      </c>
      <c r="X398" s="134" t="s">
        <v>43</v>
      </c>
      <c r="Y398" s="63">
        <f t="shared" si="52"/>
        <v>0</v>
      </c>
      <c r="Z398" s="64">
        <f t="shared" si="45"/>
        <v>0</v>
      </c>
      <c r="AA398" s="134" t="s">
        <v>43</v>
      </c>
      <c r="AB398" s="134" t="s">
        <v>43</v>
      </c>
      <c r="AC398" s="134" t="s">
        <v>43</v>
      </c>
      <c r="AD398" s="66"/>
    </row>
    <row r="399" spans="1:37" s="360" customFormat="1">
      <c r="A399" s="75"/>
      <c r="B399" s="76"/>
      <c r="C399" s="77"/>
      <c r="D399" s="77"/>
      <c r="E399" s="77" t="s">
        <v>30</v>
      </c>
      <c r="F399" s="360">
        <f>(40+13)/2</f>
        <v>26.5</v>
      </c>
      <c r="G399" s="371" t="s">
        <v>42</v>
      </c>
      <c r="H399" s="355">
        <f>(27+11)/2</f>
        <v>19</v>
      </c>
      <c r="I399" s="356"/>
      <c r="J399" s="357">
        <v>0</v>
      </c>
      <c r="K399" s="371">
        <v>0</v>
      </c>
      <c r="L399" s="354">
        <v>0</v>
      </c>
      <c r="M399" s="356"/>
      <c r="N399" s="371" t="s">
        <v>42</v>
      </c>
      <c r="O399" s="380" t="s">
        <v>42</v>
      </c>
      <c r="P399" s="380" t="s">
        <v>42</v>
      </c>
      <c r="Q399" s="356"/>
      <c r="R399" s="371">
        <v>0</v>
      </c>
      <c r="S399" s="380">
        <v>0</v>
      </c>
      <c r="T399" s="380">
        <v>0</v>
      </c>
      <c r="U399" s="374"/>
      <c r="W399" s="85">
        <f t="shared" si="52"/>
        <v>0</v>
      </c>
      <c r="X399" s="147" t="s">
        <v>43</v>
      </c>
      <c r="Y399" s="87">
        <f t="shared" si="52"/>
        <v>0</v>
      </c>
      <c r="Z399" s="64">
        <f t="shared" si="45"/>
        <v>0</v>
      </c>
      <c r="AA399" s="147" t="s">
        <v>43</v>
      </c>
      <c r="AB399" s="147" t="s">
        <v>43</v>
      </c>
      <c r="AC399" s="147" t="s">
        <v>43</v>
      </c>
      <c r="AD399" s="284"/>
      <c r="AE399" s="361"/>
      <c r="AF399" s="362"/>
      <c r="AG399" s="361"/>
      <c r="AH399" s="362"/>
      <c r="AI399" s="361"/>
    </row>
    <row r="400" spans="1:37" s="244" customFormat="1" ht="48" thickBot="1">
      <c r="A400" s="240" t="s">
        <v>119</v>
      </c>
      <c r="B400" s="241">
        <v>10</v>
      </c>
      <c r="C400" s="242" t="s">
        <v>36</v>
      </c>
      <c r="D400" s="242" t="s">
        <v>37</v>
      </c>
      <c r="E400" s="242" t="s">
        <v>53</v>
      </c>
      <c r="G400" s="408"/>
      <c r="H400" s="409"/>
      <c r="I400" s="250"/>
      <c r="J400" s="410"/>
      <c r="K400" s="250"/>
      <c r="L400" s="408"/>
      <c r="M400" s="250"/>
      <c r="N400" s="411"/>
      <c r="O400" s="410"/>
      <c r="P400" s="409"/>
      <c r="Q400" s="250"/>
      <c r="R400" s="253"/>
      <c r="S400" s="250"/>
      <c r="T400" s="408"/>
      <c r="U400" s="251" t="s">
        <v>34</v>
      </c>
      <c r="W400" s="252"/>
      <c r="X400" s="253"/>
      <c r="Y400" s="254"/>
      <c r="Z400" s="417"/>
      <c r="AA400" s="253"/>
      <c r="AC400" s="253"/>
      <c r="AD400" s="417"/>
      <c r="AE400" s="414">
        <v>0</v>
      </c>
      <c r="AF400" s="415">
        <v>1</v>
      </c>
      <c r="AG400" s="414">
        <v>0</v>
      </c>
      <c r="AH400" s="415">
        <v>0</v>
      </c>
      <c r="AI400" s="414">
        <v>1</v>
      </c>
      <c r="AK400" s="271"/>
    </row>
    <row r="401" spans="30:36" ht="16.5" thickTop="1">
      <c r="AD401" s="12" t="s">
        <v>121</v>
      </c>
      <c r="AE401" s="16">
        <f t="shared" ref="AE401:AI401" si="53">SUM(AE5:AE400)</f>
        <v>65</v>
      </c>
      <c r="AF401" s="16">
        <f t="shared" si="53"/>
        <v>32</v>
      </c>
      <c r="AG401" s="16">
        <f t="shared" si="53"/>
        <v>37</v>
      </c>
      <c r="AH401" s="16">
        <f t="shared" si="53"/>
        <v>33</v>
      </c>
      <c r="AI401" s="16">
        <f t="shared" si="53"/>
        <v>48</v>
      </c>
      <c r="AJ401" s="16"/>
    </row>
    <row r="402" spans="30:36">
      <c r="AE402" s="47" t="s">
        <v>17</v>
      </c>
      <c r="AF402" s="48" t="s">
        <v>18</v>
      </c>
      <c r="AG402" s="49" t="s">
        <v>19</v>
      </c>
      <c r="AH402" s="50" t="s">
        <v>20</v>
      </c>
      <c r="AI402" s="49" t="s">
        <v>21</v>
      </c>
      <c r="AJ402" s="16"/>
    </row>
    <row r="403" spans="30:36">
      <c r="AD403" s="418" t="s">
        <v>120</v>
      </c>
      <c r="AE403" s="419">
        <f t="shared" ref="AE403:AI403" si="54">AE401/135*100</f>
        <v>48.148148148148145</v>
      </c>
      <c r="AF403" s="419">
        <f t="shared" si="54"/>
        <v>23.703703703703706</v>
      </c>
      <c r="AG403" s="419">
        <f t="shared" si="54"/>
        <v>27.407407407407408</v>
      </c>
      <c r="AH403" s="419">
        <f t="shared" si="54"/>
        <v>24.444444444444443</v>
      </c>
      <c r="AI403" s="419">
        <f t="shared" si="54"/>
        <v>35.555555555555557</v>
      </c>
      <c r="AJ403" s="419"/>
    </row>
  </sheetData>
  <mergeCells count="4">
    <mergeCell ref="F2:L2"/>
    <mergeCell ref="N2:T2"/>
    <mergeCell ref="W2:Y2"/>
    <mergeCell ref="AA2:AC2"/>
  </mergeCells>
  <conditionalFormatting sqref="F5:F8">
    <cfRule type="colorScale" priority="1066">
      <colorScale>
        <cfvo type="min"/>
        <cfvo type="max"/>
        <color rgb="FFFCFCFF"/>
        <color rgb="FFF8696B"/>
      </colorScale>
    </cfRule>
  </conditionalFormatting>
  <conditionalFormatting sqref="G5:G8">
    <cfRule type="colorScale" priority="1065">
      <colorScale>
        <cfvo type="min"/>
        <cfvo type="max"/>
        <color rgb="FFFCFCFF"/>
        <color rgb="FFF8696B"/>
      </colorScale>
    </cfRule>
  </conditionalFormatting>
  <conditionalFormatting sqref="H5:I8">
    <cfRule type="colorScale" priority="1064">
      <colorScale>
        <cfvo type="min"/>
        <cfvo type="max"/>
        <color rgb="FFFCFCFF"/>
        <color rgb="FFF8696B"/>
      </colorScale>
    </cfRule>
  </conditionalFormatting>
  <conditionalFormatting sqref="J5:J8">
    <cfRule type="colorScale" priority="1063">
      <colorScale>
        <cfvo type="min"/>
        <cfvo type="max"/>
        <color rgb="FFFCFCFF"/>
        <color rgb="FFF8696B"/>
      </colorScale>
    </cfRule>
  </conditionalFormatting>
  <conditionalFormatting sqref="K5:K8">
    <cfRule type="colorScale" priority="1062">
      <colorScale>
        <cfvo type="min"/>
        <cfvo type="max"/>
        <color rgb="FFFCFCFF"/>
        <color rgb="FFF8696B"/>
      </colorScale>
    </cfRule>
  </conditionalFormatting>
  <conditionalFormatting sqref="L5:M8">
    <cfRule type="colorScale" priority="1061">
      <colorScale>
        <cfvo type="min"/>
        <cfvo type="max"/>
        <color rgb="FFFCFCFF"/>
        <color rgb="FFF8696B"/>
      </colorScale>
    </cfRule>
  </conditionalFormatting>
  <conditionalFormatting sqref="F9:F12">
    <cfRule type="colorScale" priority="1060">
      <colorScale>
        <cfvo type="min"/>
        <cfvo type="max"/>
        <color rgb="FFFCFCFF"/>
        <color rgb="FFF8696B"/>
      </colorScale>
    </cfRule>
  </conditionalFormatting>
  <conditionalFormatting sqref="G9:G12">
    <cfRule type="colorScale" priority="1059">
      <colorScale>
        <cfvo type="min"/>
        <cfvo type="max"/>
        <color rgb="FFFCFCFF"/>
        <color rgb="FFF8696B"/>
      </colorScale>
    </cfRule>
  </conditionalFormatting>
  <conditionalFormatting sqref="H9:I12">
    <cfRule type="colorScale" priority="1058">
      <colorScale>
        <cfvo type="min"/>
        <cfvo type="max"/>
        <color rgb="FFFCFCFF"/>
        <color rgb="FFF8696B"/>
      </colorScale>
    </cfRule>
  </conditionalFormatting>
  <conditionalFormatting sqref="J9:J12">
    <cfRule type="colorScale" priority="1057">
      <colorScale>
        <cfvo type="min"/>
        <cfvo type="max"/>
        <color rgb="FFFCFCFF"/>
        <color rgb="FFF8696B"/>
      </colorScale>
    </cfRule>
  </conditionalFormatting>
  <conditionalFormatting sqref="K9:K12">
    <cfRule type="colorScale" priority="1056">
      <colorScale>
        <cfvo type="min"/>
        <cfvo type="max"/>
        <color rgb="FFFCFCFF"/>
        <color rgb="FFF8696B"/>
      </colorScale>
    </cfRule>
  </conditionalFormatting>
  <conditionalFormatting sqref="L9:M12">
    <cfRule type="colorScale" priority="1055">
      <colorScale>
        <cfvo type="min"/>
        <cfvo type="max"/>
        <color rgb="FFFCFCFF"/>
        <color rgb="FFF8696B"/>
      </colorScale>
    </cfRule>
  </conditionalFormatting>
  <conditionalFormatting sqref="F13:F16">
    <cfRule type="colorScale" priority="1054">
      <colorScale>
        <cfvo type="min"/>
        <cfvo type="max"/>
        <color rgb="FFFCFCFF"/>
        <color rgb="FFF8696B"/>
      </colorScale>
    </cfRule>
  </conditionalFormatting>
  <conditionalFormatting sqref="G13:G16">
    <cfRule type="colorScale" priority="1053">
      <colorScale>
        <cfvo type="min"/>
        <cfvo type="max"/>
        <color rgb="FFFCFCFF"/>
        <color rgb="FFF8696B"/>
      </colorScale>
    </cfRule>
  </conditionalFormatting>
  <conditionalFormatting sqref="H13:I16">
    <cfRule type="colorScale" priority="1052">
      <colorScale>
        <cfvo type="min"/>
        <cfvo type="max"/>
        <color rgb="FFFCFCFF"/>
        <color rgb="FFF8696B"/>
      </colorScale>
    </cfRule>
  </conditionalFormatting>
  <conditionalFormatting sqref="J13:J16">
    <cfRule type="colorScale" priority="1051">
      <colorScale>
        <cfvo type="min"/>
        <cfvo type="max"/>
        <color rgb="FFFCFCFF"/>
        <color rgb="FFF8696B"/>
      </colorScale>
    </cfRule>
  </conditionalFormatting>
  <conditionalFormatting sqref="K13:K16">
    <cfRule type="colorScale" priority="1050">
      <colorScale>
        <cfvo type="min"/>
        <cfvo type="max"/>
        <color rgb="FFFCFCFF"/>
        <color rgb="FFF8696B"/>
      </colorScale>
    </cfRule>
  </conditionalFormatting>
  <conditionalFormatting sqref="L13:M16">
    <cfRule type="colorScale" priority="1049">
      <colorScale>
        <cfvo type="min"/>
        <cfvo type="max"/>
        <color rgb="FFFCFCFF"/>
        <color rgb="FFF8696B"/>
      </colorScale>
    </cfRule>
  </conditionalFormatting>
  <conditionalFormatting sqref="F17:F20">
    <cfRule type="colorScale" priority="1048">
      <colorScale>
        <cfvo type="min"/>
        <cfvo type="max"/>
        <color rgb="FFFCFCFF"/>
        <color rgb="FFF8696B"/>
      </colorScale>
    </cfRule>
  </conditionalFormatting>
  <conditionalFormatting sqref="G17:G20">
    <cfRule type="colorScale" priority="1047">
      <colorScale>
        <cfvo type="min"/>
        <cfvo type="max"/>
        <color rgb="FFFCFCFF"/>
        <color rgb="FFF8696B"/>
      </colorScale>
    </cfRule>
  </conditionalFormatting>
  <conditionalFormatting sqref="H17:I20">
    <cfRule type="colorScale" priority="1046">
      <colorScale>
        <cfvo type="min"/>
        <cfvo type="max"/>
        <color rgb="FFFCFCFF"/>
        <color rgb="FFF8696B"/>
      </colorScale>
    </cfRule>
  </conditionalFormatting>
  <conditionalFormatting sqref="J17:J20">
    <cfRule type="colorScale" priority="1045">
      <colorScale>
        <cfvo type="min"/>
        <cfvo type="max"/>
        <color rgb="FFFCFCFF"/>
        <color rgb="FFF8696B"/>
      </colorScale>
    </cfRule>
  </conditionalFormatting>
  <conditionalFormatting sqref="K17:K20">
    <cfRule type="colorScale" priority="1044">
      <colorScale>
        <cfvo type="min"/>
        <cfvo type="max"/>
        <color rgb="FFFCFCFF"/>
        <color rgb="FFF8696B"/>
      </colorScale>
    </cfRule>
  </conditionalFormatting>
  <conditionalFormatting sqref="L17:M20">
    <cfRule type="colorScale" priority="1043">
      <colorScale>
        <cfvo type="min"/>
        <cfvo type="max"/>
        <color rgb="FFFCFCFF"/>
        <color rgb="FFF8696B"/>
      </colorScale>
    </cfRule>
  </conditionalFormatting>
  <conditionalFormatting sqref="N5:N8">
    <cfRule type="colorScale" priority="1042">
      <colorScale>
        <cfvo type="min"/>
        <cfvo type="max"/>
        <color rgb="FFFCFCFF"/>
        <color rgb="FFF8696B"/>
      </colorScale>
    </cfRule>
  </conditionalFormatting>
  <conditionalFormatting sqref="O5:O8">
    <cfRule type="colorScale" priority="1041">
      <colorScale>
        <cfvo type="min"/>
        <cfvo type="max"/>
        <color rgb="FFFCFCFF"/>
        <color rgb="FFF8696B"/>
      </colorScale>
    </cfRule>
  </conditionalFormatting>
  <conditionalFormatting sqref="P5:Q8">
    <cfRule type="colorScale" priority="1040">
      <colorScale>
        <cfvo type="min"/>
        <cfvo type="max"/>
        <color rgb="FFFCFCFF"/>
        <color rgb="FFF8696B"/>
      </colorScale>
    </cfRule>
  </conditionalFormatting>
  <conditionalFormatting sqref="R5:R8">
    <cfRule type="colorScale" priority="1039">
      <colorScale>
        <cfvo type="min"/>
        <cfvo type="max"/>
        <color rgb="FFFCFCFF"/>
        <color rgb="FFF8696B"/>
      </colorScale>
    </cfRule>
  </conditionalFormatting>
  <conditionalFormatting sqref="S5:S8">
    <cfRule type="colorScale" priority="1038">
      <colorScale>
        <cfvo type="min"/>
        <cfvo type="max"/>
        <color rgb="FFFCFCFF"/>
        <color rgb="FFF8696B"/>
      </colorScale>
    </cfRule>
  </conditionalFormatting>
  <conditionalFormatting sqref="T5:U8">
    <cfRule type="colorScale" priority="1037">
      <colorScale>
        <cfvo type="min"/>
        <cfvo type="max"/>
        <color rgb="FFFCFCFF"/>
        <color rgb="FFF8696B"/>
      </colorScale>
    </cfRule>
  </conditionalFormatting>
  <conditionalFormatting sqref="N9:N12">
    <cfRule type="colorScale" priority="1036">
      <colorScale>
        <cfvo type="min"/>
        <cfvo type="max"/>
        <color rgb="FFFCFCFF"/>
        <color rgb="FFF8696B"/>
      </colorScale>
    </cfRule>
  </conditionalFormatting>
  <conditionalFormatting sqref="O9:O12">
    <cfRule type="colorScale" priority="1035">
      <colorScale>
        <cfvo type="min"/>
        <cfvo type="max"/>
        <color rgb="FFFCFCFF"/>
        <color rgb="FFF8696B"/>
      </colorScale>
    </cfRule>
  </conditionalFormatting>
  <conditionalFormatting sqref="P9:Q12">
    <cfRule type="colorScale" priority="1034">
      <colorScale>
        <cfvo type="min"/>
        <cfvo type="max"/>
        <color rgb="FFFCFCFF"/>
        <color rgb="FFF8696B"/>
      </colorScale>
    </cfRule>
  </conditionalFormatting>
  <conditionalFormatting sqref="R9:R12">
    <cfRule type="colorScale" priority="1033">
      <colorScale>
        <cfvo type="min"/>
        <cfvo type="max"/>
        <color rgb="FFFCFCFF"/>
        <color rgb="FFF8696B"/>
      </colorScale>
    </cfRule>
  </conditionalFormatting>
  <conditionalFormatting sqref="S9:S12">
    <cfRule type="colorScale" priority="1032">
      <colorScale>
        <cfvo type="min"/>
        <cfvo type="max"/>
        <color rgb="FFFCFCFF"/>
        <color rgb="FFF8696B"/>
      </colorScale>
    </cfRule>
  </conditionalFormatting>
  <conditionalFormatting sqref="T9:U12">
    <cfRule type="colorScale" priority="1031">
      <colorScale>
        <cfvo type="min"/>
        <cfvo type="max"/>
        <color rgb="FFFCFCFF"/>
        <color rgb="FFF8696B"/>
      </colorScale>
    </cfRule>
  </conditionalFormatting>
  <conditionalFormatting sqref="N13:N16">
    <cfRule type="colorScale" priority="1030">
      <colorScale>
        <cfvo type="min"/>
        <cfvo type="max"/>
        <color rgb="FFFCFCFF"/>
        <color rgb="FFF8696B"/>
      </colorScale>
    </cfRule>
  </conditionalFormatting>
  <conditionalFormatting sqref="O13:O16">
    <cfRule type="colorScale" priority="1029">
      <colorScale>
        <cfvo type="min"/>
        <cfvo type="max"/>
        <color rgb="FFFCFCFF"/>
        <color rgb="FFF8696B"/>
      </colorScale>
    </cfRule>
  </conditionalFormatting>
  <conditionalFormatting sqref="P13:Q16">
    <cfRule type="colorScale" priority="1028">
      <colorScale>
        <cfvo type="min"/>
        <cfvo type="max"/>
        <color rgb="FFFCFCFF"/>
        <color rgb="FFF8696B"/>
      </colorScale>
    </cfRule>
  </conditionalFormatting>
  <conditionalFormatting sqref="R13:R16">
    <cfRule type="colorScale" priority="1027">
      <colorScale>
        <cfvo type="min"/>
        <cfvo type="max"/>
        <color rgb="FFFCFCFF"/>
        <color rgb="FFF8696B"/>
      </colorScale>
    </cfRule>
  </conditionalFormatting>
  <conditionalFormatting sqref="S13:S16">
    <cfRule type="colorScale" priority="1026">
      <colorScale>
        <cfvo type="min"/>
        <cfvo type="max"/>
        <color rgb="FFFCFCFF"/>
        <color rgb="FFF8696B"/>
      </colorScale>
    </cfRule>
  </conditionalFormatting>
  <conditionalFormatting sqref="T13:U16">
    <cfRule type="colorScale" priority="1025">
      <colorScale>
        <cfvo type="min"/>
        <cfvo type="max"/>
        <color rgb="FFFCFCFF"/>
        <color rgb="FFF8696B"/>
      </colorScale>
    </cfRule>
  </conditionalFormatting>
  <conditionalFormatting sqref="N17:N20">
    <cfRule type="colorScale" priority="1024">
      <colorScale>
        <cfvo type="min"/>
        <cfvo type="max"/>
        <color rgb="FFFCFCFF"/>
        <color rgb="FFF8696B"/>
      </colorScale>
    </cfRule>
  </conditionalFormatting>
  <conditionalFormatting sqref="O17:O20">
    <cfRule type="colorScale" priority="1023">
      <colorScale>
        <cfvo type="min"/>
        <cfvo type="max"/>
        <color rgb="FFFCFCFF"/>
        <color rgb="FFF8696B"/>
      </colorScale>
    </cfRule>
  </conditionalFormatting>
  <conditionalFormatting sqref="P17:Q20">
    <cfRule type="colorScale" priority="1022">
      <colorScale>
        <cfvo type="min"/>
        <cfvo type="max"/>
        <color rgb="FFFCFCFF"/>
        <color rgb="FFF8696B"/>
      </colorScale>
    </cfRule>
  </conditionalFormatting>
  <conditionalFormatting sqref="R17:R20">
    <cfRule type="colorScale" priority="1021">
      <colorScale>
        <cfvo type="min"/>
        <cfvo type="max"/>
        <color rgb="FFFCFCFF"/>
        <color rgb="FFF8696B"/>
      </colorScale>
    </cfRule>
  </conditionalFormatting>
  <conditionalFormatting sqref="S17:S20">
    <cfRule type="colorScale" priority="1020">
      <colorScale>
        <cfvo type="min"/>
        <cfvo type="max"/>
        <color rgb="FFFCFCFF"/>
        <color rgb="FFF8696B"/>
      </colorScale>
    </cfRule>
  </conditionalFormatting>
  <conditionalFormatting sqref="T17:U20">
    <cfRule type="colorScale" priority="1019">
      <colorScale>
        <cfvo type="min"/>
        <cfvo type="max"/>
        <color rgb="FFFCFCFF"/>
        <color rgb="FFF8696B"/>
      </colorScale>
    </cfRule>
  </conditionalFormatting>
  <conditionalFormatting sqref="F21:F24">
    <cfRule type="colorScale" priority="1018">
      <colorScale>
        <cfvo type="min"/>
        <cfvo type="max"/>
        <color rgb="FFFCFCFF"/>
        <color rgb="FFF8696B"/>
      </colorScale>
    </cfRule>
  </conditionalFormatting>
  <conditionalFormatting sqref="G21:G24">
    <cfRule type="colorScale" priority="1017">
      <colorScale>
        <cfvo type="min"/>
        <cfvo type="max"/>
        <color rgb="FFFCFCFF"/>
        <color rgb="FFF8696B"/>
      </colorScale>
    </cfRule>
  </conditionalFormatting>
  <conditionalFormatting sqref="H21:I24">
    <cfRule type="colorScale" priority="1016">
      <colorScale>
        <cfvo type="min"/>
        <cfvo type="max"/>
        <color rgb="FFFCFCFF"/>
        <color rgb="FFF8696B"/>
      </colorScale>
    </cfRule>
  </conditionalFormatting>
  <conditionalFormatting sqref="J21:J24">
    <cfRule type="colorScale" priority="1015">
      <colorScale>
        <cfvo type="min"/>
        <cfvo type="max"/>
        <color rgb="FFFCFCFF"/>
        <color rgb="FFF8696B"/>
      </colorScale>
    </cfRule>
  </conditionalFormatting>
  <conditionalFormatting sqref="K21:K24">
    <cfRule type="colorScale" priority="1014">
      <colorScale>
        <cfvo type="min"/>
        <cfvo type="max"/>
        <color rgb="FFFCFCFF"/>
        <color rgb="FFF8696B"/>
      </colorScale>
    </cfRule>
  </conditionalFormatting>
  <conditionalFormatting sqref="L21:M24">
    <cfRule type="colorScale" priority="1013">
      <colorScale>
        <cfvo type="min"/>
        <cfvo type="max"/>
        <color rgb="FFFCFCFF"/>
        <color rgb="FFF8696B"/>
      </colorScale>
    </cfRule>
  </conditionalFormatting>
  <conditionalFormatting sqref="N21:N24">
    <cfRule type="colorScale" priority="1012">
      <colorScale>
        <cfvo type="min"/>
        <cfvo type="max"/>
        <color rgb="FFFCFCFF"/>
        <color rgb="FFF8696B"/>
      </colorScale>
    </cfRule>
  </conditionalFormatting>
  <conditionalFormatting sqref="O21:O24">
    <cfRule type="colorScale" priority="1011">
      <colorScale>
        <cfvo type="min"/>
        <cfvo type="max"/>
        <color rgb="FFFCFCFF"/>
        <color rgb="FFF8696B"/>
      </colorScale>
    </cfRule>
  </conditionalFormatting>
  <conditionalFormatting sqref="P21:Q24">
    <cfRule type="colorScale" priority="1010">
      <colorScale>
        <cfvo type="min"/>
        <cfvo type="max"/>
        <color rgb="FFFCFCFF"/>
        <color rgb="FFF8696B"/>
      </colorScale>
    </cfRule>
  </conditionalFormatting>
  <conditionalFormatting sqref="R21:R24">
    <cfRule type="colorScale" priority="1009">
      <colorScale>
        <cfvo type="min"/>
        <cfvo type="max"/>
        <color rgb="FFFCFCFF"/>
        <color rgb="FFF8696B"/>
      </colorScale>
    </cfRule>
  </conditionalFormatting>
  <conditionalFormatting sqref="S21:S24">
    <cfRule type="colorScale" priority="1008">
      <colorScale>
        <cfvo type="min"/>
        <cfvo type="max"/>
        <color rgb="FFFCFCFF"/>
        <color rgb="FFF8696B"/>
      </colorScale>
    </cfRule>
  </conditionalFormatting>
  <conditionalFormatting sqref="T21:U24">
    <cfRule type="colorScale" priority="1007">
      <colorScale>
        <cfvo type="min"/>
        <cfvo type="max"/>
        <color rgb="FFFCFCFF"/>
        <color rgb="FFF8696B"/>
      </colorScale>
    </cfRule>
  </conditionalFormatting>
  <conditionalFormatting sqref="O25:O28">
    <cfRule type="colorScale" priority="1006">
      <colorScale>
        <cfvo type="min"/>
        <cfvo type="max"/>
        <color rgb="FFFCFCFF"/>
        <color rgb="FFF8696B"/>
      </colorScale>
    </cfRule>
  </conditionalFormatting>
  <conditionalFormatting sqref="S25:S28">
    <cfRule type="colorScale" priority="1005">
      <colorScale>
        <cfvo type="min"/>
        <cfvo type="max"/>
        <color rgb="FFFCFCFF"/>
        <color rgb="FFF8696B"/>
      </colorScale>
    </cfRule>
  </conditionalFormatting>
  <conditionalFormatting sqref="G29:G32">
    <cfRule type="colorScale" priority="1004">
      <colorScale>
        <cfvo type="min"/>
        <cfvo type="max"/>
        <color rgb="FFFCFCFF"/>
        <color rgb="FFF8696B"/>
      </colorScale>
    </cfRule>
  </conditionalFormatting>
  <conditionalFormatting sqref="H29:I32">
    <cfRule type="colorScale" priority="1003">
      <colorScale>
        <cfvo type="min"/>
        <cfvo type="max"/>
        <color rgb="FFFCFCFF"/>
        <color rgb="FFF8696B"/>
      </colorScale>
    </cfRule>
  </conditionalFormatting>
  <conditionalFormatting sqref="K29:K32">
    <cfRule type="colorScale" priority="1002">
      <colorScale>
        <cfvo type="min"/>
        <cfvo type="max"/>
        <color rgb="FFFCFCFF"/>
        <color rgb="FFF8696B"/>
      </colorScale>
    </cfRule>
  </conditionalFormatting>
  <conditionalFormatting sqref="L29:M32">
    <cfRule type="colorScale" priority="1001">
      <colorScale>
        <cfvo type="min"/>
        <cfvo type="max"/>
        <color rgb="FFFCFCFF"/>
        <color rgb="FFF8696B"/>
      </colorScale>
    </cfRule>
  </conditionalFormatting>
  <conditionalFormatting sqref="N29:N32">
    <cfRule type="colorScale" priority="1000">
      <colorScale>
        <cfvo type="min"/>
        <cfvo type="max"/>
        <color rgb="FFFCFCFF"/>
        <color rgb="FFF8696B"/>
      </colorScale>
    </cfRule>
  </conditionalFormatting>
  <conditionalFormatting sqref="P29:Q32">
    <cfRule type="colorScale" priority="999">
      <colorScale>
        <cfvo type="min"/>
        <cfvo type="max"/>
        <color rgb="FFFCFCFF"/>
        <color rgb="FFF8696B"/>
      </colorScale>
    </cfRule>
  </conditionalFormatting>
  <conditionalFormatting sqref="R29:R32">
    <cfRule type="colorScale" priority="998">
      <colorScale>
        <cfvo type="min"/>
        <cfvo type="max"/>
        <color rgb="FFFCFCFF"/>
        <color rgb="FFF8696B"/>
      </colorScale>
    </cfRule>
  </conditionalFormatting>
  <conditionalFormatting sqref="T29:U32">
    <cfRule type="colorScale" priority="997">
      <colorScale>
        <cfvo type="min"/>
        <cfvo type="max"/>
        <color rgb="FFFCFCFF"/>
        <color rgb="FFF8696B"/>
      </colorScale>
    </cfRule>
  </conditionalFormatting>
  <conditionalFormatting sqref="F33:F36">
    <cfRule type="colorScale" priority="996">
      <colorScale>
        <cfvo type="min"/>
        <cfvo type="max"/>
        <color rgb="FFFCFCFF"/>
        <color rgb="FFF8696B"/>
      </colorScale>
    </cfRule>
  </conditionalFormatting>
  <conditionalFormatting sqref="H33:I36">
    <cfRule type="colorScale" priority="995">
      <colorScale>
        <cfvo type="min"/>
        <cfvo type="max"/>
        <color rgb="FFFCFCFF"/>
        <color rgb="FFF8696B"/>
      </colorScale>
    </cfRule>
  </conditionalFormatting>
  <conditionalFormatting sqref="J33:J36">
    <cfRule type="colorScale" priority="994">
      <colorScale>
        <cfvo type="min"/>
        <cfvo type="max"/>
        <color rgb="FFFCFCFF"/>
        <color rgb="FFF8696B"/>
      </colorScale>
    </cfRule>
  </conditionalFormatting>
  <conditionalFormatting sqref="L33:M36">
    <cfRule type="colorScale" priority="993">
      <colorScale>
        <cfvo type="min"/>
        <cfvo type="max"/>
        <color rgb="FFFCFCFF"/>
        <color rgb="FFF8696B"/>
      </colorScale>
    </cfRule>
  </conditionalFormatting>
  <conditionalFormatting sqref="P33:Q36">
    <cfRule type="colorScale" priority="992">
      <colorScale>
        <cfvo type="min"/>
        <cfvo type="max"/>
        <color rgb="FFFCFCFF"/>
        <color rgb="FFF8696B"/>
      </colorScale>
    </cfRule>
  </conditionalFormatting>
  <conditionalFormatting sqref="T33:U36">
    <cfRule type="colorScale" priority="991">
      <colorScale>
        <cfvo type="min"/>
        <cfvo type="max"/>
        <color rgb="FFFCFCFF"/>
        <color rgb="FFF8696B"/>
      </colorScale>
    </cfRule>
  </conditionalFormatting>
  <conditionalFormatting sqref="H37:I40">
    <cfRule type="colorScale" priority="984">
      <colorScale>
        <cfvo type="min"/>
        <cfvo type="max"/>
        <color rgb="FFFCFCFF"/>
        <color rgb="FFF8696B"/>
      </colorScale>
    </cfRule>
  </conditionalFormatting>
  <conditionalFormatting sqref="L37:M40">
    <cfRule type="colorScale" priority="983">
      <colorScale>
        <cfvo type="min"/>
        <cfvo type="max"/>
        <color rgb="FFFCFCFF"/>
        <color rgb="FFF8696B"/>
      </colorScale>
    </cfRule>
  </conditionalFormatting>
  <conditionalFormatting sqref="O37:O40">
    <cfRule type="colorScale" priority="982">
      <colorScale>
        <cfvo type="min"/>
        <cfvo type="max"/>
        <color rgb="FFFCFCFF"/>
        <color rgb="FFF8696B"/>
      </colorScale>
    </cfRule>
  </conditionalFormatting>
  <conditionalFormatting sqref="P37:Q40">
    <cfRule type="colorScale" priority="981">
      <colorScale>
        <cfvo type="min"/>
        <cfvo type="max"/>
        <color rgb="FFFCFCFF"/>
        <color rgb="FFF8696B"/>
      </colorScale>
    </cfRule>
  </conditionalFormatting>
  <conditionalFormatting sqref="S37:S40">
    <cfRule type="colorScale" priority="980">
      <colorScale>
        <cfvo type="min"/>
        <cfvo type="max"/>
        <color rgb="FFFCFCFF"/>
        <color rgb="FFF8696B"/>
      </colorScale>
    </cfRule>
  </conditionalFormatting>
  <conditionalFormatting sqref="T37:U40">
    <cfRule type="colorScale" priority="979">
      <colorScale>
        <cfvo type="min"/>
        <cfvo type="max"/>
        <color rgb="FFFCFCFF"/>
        <color rgb="FFF8696B"/>
      </colorScale>
    </cfRule>
  </conditionalFormatting>
  <conditionalFormatting sqref="O41:O44">
    <cfRule type="colorScale" priority="978">
      <colorScale>
        <cfvo type="min"/>
        <cfvo type="max"/>
        <color rgb="FFFCFCFF"/>
        <color rgb="FFF8696B"/>
      </colorScale>
    </cfRule>
  </conditionalFormatting>
  <conditionalFormatting sqref="S41:S44">
    <cfRule type="colorScale" priority="977">
      <colorScale>
        <cfvo type="min"/>
        <cfvo type="max"/>
        <color rgb="FFFCFCFF"/>
        <color rgb="FFF8696B"/>
      </colorScale>
    </cfRule>
  </conditionalFormatting>
  <conditionalFormatting sqref="O45:O48">
    <cfRule type="colorScale" priority="976">
      <colorScale>
        <cfvo type="min"/>
        <cfvo type="max"/>
        <color rgb="FFFCFCFF"/>
        <color rgb="FFF8696B"/>
      </colorScale>
    </cfRule>
  </conditionalFormatting>
  <conditionalFormatting sqref="P45:Q48">
    <cfRule type="colorScale" priority="975">
      <colorScale>
        <cfvo type="min"/>
        <cfvo type="max"/>
        <color rgb="FFFCFCFF"/>
        <color rgb="FFF8696B"/>
      </colorScale>
    </cfRule>
  </conditionalFormatting>
  <conditionalFormatting sqref="S45:S48">
    <cfRule type="colorScale" priority="974">
      <colorScale>
        <cfvo type="min"/>
        <cfvo type="max"/>
        <color rgb="FFFCFCFF"/>
        <color rgb="FFF8696B"/>
      </colorScale>
    </cfRule>
  </conditionalFormatting>
  <conditionalFormatting sqref="T45:U48">
    <cfRule type="colorScale" priority="973">
      <colorScale>
        <cfvo type="min"/>
        <cfvo type="max"/>
        <color rgb="FFFCFCFF"/>
        <color rgb="FFF8696B"/>
      </colorScale>
    </cfRule>
  </conditionalFormatting>
  <conditionalFormatting sqref="P49:Q52">
    <cfRule type="colorScale" priority="972">
      <colorScale>
        <cfvo type="min"/>
        <cfvo type="max"/>
        <color rgb="FFFCFCFF"/>
        <color rgb="FFF8696B"/>
      </colorScale>
    </cfRule>
  </conditionalFormatting>
  <conditionalFormatting sqref="T49:U52">
    <cfRule type="colorScale" priority="971">
      <colorScale>
        <cfvo type="min"/>
        <cfvo type="max"/>
        <color rgb="FFFCFCFF"/>
        <color rgb="FFF8696B"/>
      </colorScale>
    </cfRule>
  </conditionalFormatting>
  <conditionalFormatting sqref="F53:F56">
    <cfRule type="colorScale" priority="970">
      <colorScale>
        <cfvo type="min"/>
        <cfvo type="max"/>
        <color rgb="FFFCFCFF"/>
        <color rgb="FFF8696B"/>
      </colorScale>
    </cfRule>
  </conditionalFormatting>
  <conditionalFormatting sqref="G53:G56">
    <cfRule type="colorScale" priority="969">
      <colorScale>
        <cfvo type="min"/>
        <cfvo type="max"/>
        <color rgb="FFFCFCFF"/>
        <color rgb="FFF8696B"/>
      </colorScale>
    </cfRule>
  </conditionalFormatting>
  <conditionalFormatting sqref="H53:I56">
    <cfRule type="colorScale" priority="968">
      <colorScale>
        <cfvo type="min"/>
        <cfvo type="max"/>
        <color rgb="FFFCFCFF"/>
        <color rgb="FFF8696B"/>
      </colorScale>
    </cfRule>
  </conditionalFormatting>
  <conditionalFormatting sqref="J53:J56">
    <cfRule type="colorScale" priority="967">
      <colorScale>
        <cfvo type="min"/>
        <cfvo type="max"/>
        <color rgb="FFFCFCFF"/>
        <color rgb="FFF8696B"/>
      </colorScale>
    </cfRule>
  </conditionalFormatting>
  <conditionalFormatting sqref="K53:K56">
    <cfRule type="colorScale" priority="966">
      <colorScale>
        <cfvo type="min"/>
        <cfvo type="max"/>
        <color rgb="FFFCFCFF"/>
        <color rgb="FFF8696B"/>
      </colorScale>
    </cfRule>
  </conditionalFormatting>
  <conditionalFormatting sqref="L53:M56">
    <cfRule type="colorScale" priority="965">
      <colorScale>
        <cfvo type="min"/>
        <cfvo type="max"/>
        <color rgb="FFFCFCFF"/>
        <color rgb="FFF8696B"/>
      </colorScale>
    </cfRule>
  </conditionalFormatting>
  <conditionalFormatting sqref="N53:N56">
    <cfRule type="colorScale" priority="964">
      <colorScale>
        <cfvo type="min"/>
        <cfvo type="max"/>
        <color rgb="FFFCFCFF"/>
        <color rgb="FFF8696B"/>
      </colorScale>
    </cfRule>
  </conditionalFormatting>
  <conditionalFormatting sqref="O53:O56">
    <cfRule type="colorScale" priority="963">
      <colorScale>
        <cfvo type="min"/>
        <cfvo type="max"/>
        <color rgb="FFFCFCFF"/>
        <color rgb="FFF8696B"/>
      </colorScale>
    </cfRule>
  </conditionalFormatting>
  <conditionalFormatting sqref="P53:Q56">
    <cfRule type="colorScale" priority="962">
      <colorScale>
        <cfvo type="min"/>
        <cfvo type="max"/>
        <color rgb="FFFCFCFF"/>
        <color rgb="FFF8696B"/>
      </colorScale>
    </cfRule>
  </conditionalFormatting>
  <conditionalFormatting sqref="R53:R56">
    <cfRule type="colorScale" priority="961">
      <colorScale>
        <cfvo type="min"/>
        <cfvo type="max"/>
        <color rgb="FFFCFCFF"/>
        <color rgb="FFF8696B"/>
      </colorScale>
    </cfRule>
  </conditionalFormatting>
  <conditionalFormatting sqref="S53:S56">
    <cfRule type="colorScale" priority="960">
      <colorScale>
        <cfvo type="min"/>
        <cfvo type="max"/>
        <color rgb="FFFCFCFF"/>
        <color rgb="FFF8696B"/>
      </colorScale>
    </cfRule>
  </conditionalFormatting>
  <conditionalFormatting sqref="T53:U56">
    <cfRule type="colorScale" priority="959">
      <colorScale>
        <cfvo type="min"/>
        <cfvo type="max"/>
        <color rgb="FFFCFCFF"/>
        <color rgb="FFF8696B"/>
      </colorScale>
    </cfRule>
  </conditionalFormatting>
  <conditionalFormatting sqref="P57:Q60">
    <cfRule type="colorScale" priority="958">
      <colorScale>
        <cfvo type="min"/>
        <cfvo type="max"/>
        <color rgb="FFFCFCFF"/>
        <color rgb="FFF8696B"/>
      </colorScale>
    </cfRule>
  </conditionalFormatting>
  <conditionalFormatting sqref="T57:U60">
    <cfRule type="colorScale" priority="957">
      <colorScale>
        <cfvo type="min"/>
        <cfvo type="max"/>
        <color rgb="FFFCFCFF"/>
        <color rgb="FFF8696B"/>
      </colorScale>
    </cfRule>
  </conditionalFormatting>
  <conditionalFormatting sqref="H61:I69">
    <cfRule type="colorScale" priority="956">
      <colorScale>
        <cfvo type="min"/>
        <cfvo type="max"/>
        <color rgb="FFFCFCFF"/>
        <color rgb="FFF8696B"/>
      </colorScale>
    </cfRule>
  </conditionalFormatting>
  <conditionalFormatting sqref="L61:M69">
    <cfRule type="colorScale" priority="955">
      <colorScale>
        <cfvo type="min"/>
        <cfvo type="max"/>
        <color rgb="FFFCFCFF"/>
        <color rgb="FFF8696B"/>
      </colorScale>
    </cfRule>
  </conditionalFormatting>
  <conditionalFormatting sqref="N61:N69">
    <cfRule type="colorScale" priority="954">
      <colorScale>
        <cfvo type="min"/>
        <cfvo type="max"/>
        <color rgb="FFFCFCFF"/>
        <color rgb="FFF8696B"/>
      </colorScale>
    </cfRule>
  </conditionalFormatting>
  <conditionalFormatting sqref="R61:R69">
    <cfRule type="colorScale" priority="953">
      <colorScale>
        <cfvo type="min"/>
        <cfvo type="max"/>
        <color rgb="FFFCFCFF"/>
        <color rgb="FFF8696B"/>
      </colorScale>
    </cfRule>
  </conditionalFormatting>
  <conditionalFormatting sqref="G70:G73">
    <cfRule type="colorScale" priority="952">
      <colorScale>
        <cfvo type="min"/>
        <cfvo type="max"/>
        <color rgb="FFFCFCFF"/>
        <color rgb="FFF8696B"/>
      </colorScale>
    </cfRule>
  </conditionalFormatting>
  <conditionalFormatting sqref="K70:K73">
    <cfRule type="colorScale" priority="951">
      <colorScale>
        <cfvo type="min"/>
        <cfvo type="max"/>
        <color rgb="FFFCFCFF"/>
        <color rgb="FFF8696B"/>
      </colorScale>
    </cfRule>
  </conditionalFormatting>
  <conditionalFormatting sqref="F74:F78">
    <cfRule type="colorScale" priority="950">
      <colorScale>
        <cfvo type="min"/>
        <cfvo type="max"/>
        <color rgb="FFFCFCFF"/>
        <color rgb="FFF8696B"/>
      </colorScale>
    </cfRule>
  </conditionalFormatting>
  <conditionalFormatting sqref="G74:G78">
    <cfRule type="colorScale" priority="949">
      <colorScale>
        <cfvo type="min"/>
        <cfvo type="max"/>
        <color rgb="FFFCFCFF"/>
        <color rgb="FFF8696B"/>
      </colorScale>
    </cfRule>
  </conditionalFormatting>
  <conditionalFormatting sqref="H74:I78">
    <cfRule type="colorScale" priority="948">
      <colorScale>
        <cfvo type="min"/>
        <cfvo type="max"/>
        <color rgb="FFFCFCFF"/>
        <color rgb="FFF8696B"/>
      </colorScale>
    </cfRule>
  </conditionalFormatting>
  <conditionalFormatting sqref="J74:J78">
    <cfRule type="colorScale" priority="947">
      <colorScale>
        <cfvo type="min"/>
        <cfvo type="max"/>
        <color rgb="FFFCFCFF"/>
        <color rgb="FFF8696B"/>
      </colorScale>
    </cfRule>
  </conditionalFormatting>
  <conditionalFormatting sqref="K74:K78">
    <cfRule type="colorScale" priority="946">
      <colorScale>
        <cfvo type="min"/>
        <cfvo type="max"/>
        <color rgb="FFFCFCFF"/>
        <color rgb="FFF8696B"/>
      </colorScale>
    </cfRule>
  </conditionalFormatting>
  <conditionalFormatting sqref="L74:M78">
    <cfRule type="colorScale" priority="945">
      <colorScale>
        <cfvo type="min"/>
        <cfvo type="max"/>
        <color rgb="FFFCFCFF"/>
        <color rgb="FFF8696B"/>
      </colorScale>
    </cfRule>
  </conditionalFormatting>
  <conditionalFormatting sqref="N74:N78">
    <cfRule type="colorScale" priority="944">
      <colorScale>
        <cfvo type="min"/>
        <cfvo type="max"/>
        <color rgb="FFFCFCFF"/>
        <color rgb="FFF8696B"/>
      </colorScale>
    </cfRule>
  </conditionalFormatting>
  <conditionalFormatting sqref="O74:O78">
    <cfRule type="colorScale" priority="943">
      <colorScale>
        <cfvo type="min"/>
        <cfvo type="max"/>
        <color rgb="FFFCFCFF"/>
        <color rgb="FFF8696B"/>
      </colorScale>
    </cfRule>
  </conditionalFormatting>
  <conditionalFormatting sqref="P74:Q78">
    <cfRule type="colorScale" priority="942">
      <colorScale>
        <cfvo type="min"/>
        <cfvo type="max"/>
        <color rgb="FFFCFCFF"/>
        <color rgb="FFF8696B"/>
      </colorScale>
    </cfRule>
  </conditionalFormatting>
  <conditionalFormatting sqref="R74:R78">
    <cfRule type="colorScale" priority="941">
      <colorScale>
        <cfvo type="min"/>
        <cfvo type="max"/>
        <color rgb="FFFCFCFF"/>
        <color rgb="FFF8696B"/>
      </colorScale>
    </cfRule>
  </conditionalFormatting>
  <conditionalFormatting sqref="S74:S78">
    <cfRule type="colorScale" priority="940">
      <colorScale>
        <cfvo type="min"/>
        <cfvo type="max"/>
        <color rgb="FFFCFCFF"/>
        <color rgb="FFF8696B"/>
      </colorScale>
    </cfRule>
  </conditionalFormatting>
  <conditionalFormatting sqref="T74:U78">
    <cfRule type="colorScale" priority="939">
      <colorScale>
        <cfvo type="min"/>
        <cfvo type="max"/>
        <color rgb="FFFCFCFF"/>
        <color rgb="FFF8696B"/>
      </colorScale>
    </cfRule>
  </conditionalFormatting>
  <conditionalFormatting sqref="F79:F82">
    <cfRule type="colorScale" priority="938">
      <colorScale>
        <cfvo type="min"/>
        <cfvo type="max"/>
        <color rgb="FFFCFCFF"/>
        <color rgb="FFF8696B"/>
      </colorScale>
    </cfRule>
  </conditionalFormatting>
  <conditionalFormatting sqref="G79:G82">
    <cfRule type="colorScale" priority="937">
      <colorScale>
        <cfvo type="min"/>
        <cfvo type="max"/>
        <color rgb="FFFCFCFF"/>
        <color rgb="FFF8696B"/>
      </colorScale>
    </cfRule>
  </conditionalFormatting>
  <conditionalFormatting sqref="H79:I82">
    <cfRule type="colorScale" priority="936">
      <colorScale>
        <cfvo type="min"/>
        <cfvo type="max"/>
        <color rgb="FFFCFCFF"/>
        <color rgb="FFF8696B"/>
      </colorScale>
    </cfRule>
  </conditionalFormatting>
  <conditionalFormatting sqref="J79:J82">
    <cfRule type="colorScale" priority="935">
      <colorScale>
        <cfvo type="min"/>
        <cfvo type="max"/>
        <color rgb="FFFCFCFF"/>
        <color rgb="FFF8696B"/>
      </colorScale>
    </cfRule>
  </conditionalFormatting>
  <conditionalFormatting sqref="K79:K82">
    <cfRule type="colorScale" priority="934">
      <colorScale>
        <cfvo type="min"/>
        <cfvo type="max"/>
        <color rgb="FFFCFCFF"/>
        <color rgb="FFF8696B"/>
      </colorScale>
    </cfRule>
  </conditionalFormatting>
  <conditionalFormatting sqref="L79:M82">
    <cfRule type="colorScale" priority="933">
      <colorScale>
        <cfvo type="min"/>
        <cfvo type="max"/>
        <color rgb="FFFCFCFF"/>
        <color rgb="FFF8696B"/>
      </colorScale>
    </cfRule>
  </conditionalFormatting>
  <conditionalFormatting sqref="N79:N82">
    <cfRule type="colorScale" priority="932">
      <colorScale>
        <cfvo type="min"/>
        <cfvo type="max"/>
        <color rgb="FFFCFCFF"/>
        <color rgb="FFF8696B"/>
      </colorScale>
    </cfRule>
  </conditionalFormatting>
  <conditionalFormatting sqref="O79:O82">
    <cfRule type="colorScale" priority="931">
      <colorScale>
        <cfvo type="min"/>
        <cfvo type="max"/>
        <color rgb="FFFCFCFF"/>
        <color rgb="FFF8696B"/>
      </colorScale>
    </cfRule>
  </conditionalFormatting>
  <conditionalFormatting sqref="P79:Q82">
    <cfRule type="colorScale" priority="930">
      <colorScale>
        <cfvo type="min"/>
        <cfvo type="max"/>
        <color rgb="FFFCFCFF"/>
        <color rgb="FFF8696B"/>
      </colorScale>
    </cfRule>
  </conditionalFormatting>
  <conditionalFormatting sqref="R79:R82">
    <cfRule type="colorScale" priority="929">
      <colorScale>
        <cfvo type="min"/>
        <cfvo type="max"/>
        <color rgb="FFFCFCFF"/>
        <color rgb="FFF8696B"/>
      </colorScale>
    </cfRule>
  </conditionalFormatting>
  <conditionalFormatting sqref="S79:S82">
    <cfRule type="colorScale" priority="928">
      <colorScale>
        <cfvo type="min"/>
        <cfvo type="max"/>
        <color rgb="FFFCFCFF"/>
        <color rgb="FFF8696B"/>
      </colorScale>
    </cfRule>
  </conditionalFormatting>
  <conditionalFormatting sqref="T79:U82">
    <cfRule type="colorScale" priority="927">
      <colorScale>
        <cfvo type="min"/>
        <cfvo type="max"/>
        <color rgb="FFFCFCFF"/>
        <color rgb="FFF8696B"/>
      </colorScale>
    </cfRule>
  </conditionalFormatting>
  <conditionalFormatting sqref="G83:G86">
    <cfRule type="colorScale" priority="926">
      <colorScale>
        <cfvo type="min"/>
        <cfvo type="max"/>
        <color rgb="FFFCFCFF"/>
        <color rgb="FFF8696B"/>
      </colorScale>
    </cfRule>
  </conditionalFormatting>
  <conditionalFormatting sqref="H83:I86">
    <cfRule type="colorScale" priority="925">
      <colorScale>
        <cfvo type="min"/>
        <cfvo type="max"/>
        <color rgb="FFFCFCFF"/>
        <color rgb="FFF8696B"/>
      </colorScale>
    </cfRule>
  </conditionalFormatting>
  <conditionalFormatting sqref="K83:K86">
    <cfRule type="colorScale" priority="924">
      <colorScale>
        <cfvo type="min"/>
        <cfvo type="max"/>
        <color rgb="FFFCFCFF"/>
        <color rgb="FFF8696B"/>
      </colorScale>
    </cfRule>
  </conditionalFormatting>
  <conditionalFormatting sqref="L83:M86">
    <cfRule type="colorScale" priority="923">
      <colorScale>
        <cfvo type="min"/>
        <cfvo type="max"/>
        <color rgb="FFFCFCFF"/>
        <color rgb="FFF8696B"/>
      </colorScale>
    </cfRule>
  </conditionalFormatting>
  <conditionalFormatting sqref="O83:O86">
    <cfRule type="colorScale" priority="922">
      <colorScale>
        <cfvo type="min"/>
        <cfvo type="max"/>
        <color rgb="FFFCFCFF"/>
        <color rgb="FFF8696B"/>
      </colorScale>
    </cfRule>
  </conditionalFormatting>
  <conditionalFormatting sqref="S83:S86">
    <cfRule type="colorScale" priority="921">
      <colorScale>
        <cfvo type="min"/>
        <cfvo type="max"/>
        <color rgb="FFFCFCFF"/>
        <color rgb="FFF8696B"/>
      </colorScale>
    </cfRule>
  </conditionalFormatting>
  <conditionalFormatting sqref="F87:F92">
    <cfRule type="colorScale" priority="920">
      <colorScale>
        <cfvo type="min"/>
        <cfvo type="max"/>
        <color rgb="FFFCFCFF"/>
        <color rgb="FFF8696B"/>
      </colorScale>
    </cfRule>
  </conditionalFormatting>
  <conditionalFormatting sqref="G87:G92">
    <cfRule type="colorScale" priority="919">
      <colorScale>
        <cfvo type="min"/>
        <cfvo type="max"/>
        <color rgb="FFFCFCFF"/>
        <color rgb="FFF8696B"/>
      </colorScale>
    </cfRule>
  </conditionalFormatting>
  <conditionalFormatting sqref="H87:I92">
    <cfRule type="colorScale" priority="918">
      <colorScale>
        <cfvo type="min"/>
        <cfvo type="max"/>
        <color rgb="FFFCFCFF"/>
        <color rgb="FFF8696B"/>
      </colorScale>
    </cfRule>
  </conditionalFormatting>
  <conditionalFormatting sqref="J87:J92">
    <cfRule type="colorScale" priority="917">
      <colorScale>
        <cfvo type="min"/>
        <cfvo type="max"/>
        <color rgb="FFFCFCFF"/>
        <color rgb="FFF8696B"/>
      </colorScale>
    </cfRule>
  </conditionalFormatting>
  <conditionalFormatting sqref="K87:K92">
    <cfRule type="colorScale" priority="916">
      <colorScale>
        <cfvo type="min"/>
        <cfvo type="max"/>
        <color rgb="FFFCFCFF"/>
        <color rgb="FFF8696B"/>
      </colorScale>
    </cfRule>
  </conditionalFormatting>
  <conditionalFormatting sqref="L87:M92">
    <cfRule type="colorScale" priority="915">
      <colorScale>
        <cfvo type="min"/>
        <cfvo type="max"/>
        <color rgb="FFFCFCFF"/>
        <color rgb="FFF8696B"/>
      </colorScale>
    </cfRule>
  </conditionalFormatting>
  <conditionalFormatting sqref="N87:N92">
    <cfRule type="colorScale" priority="914">
      <colorScale>
        <cfvo type="min"/>
        <cfvo type="max"/>
        <color rgb="FFFCFCFF"/>
        <color rgb="FFF8696B"/>
      </colorScale>
    </cfRule>
  </conditionalFormatting>
  <conditionalFormatting sqref="O87:O92">
    <cfRule type="colorScale" priority="913">
      <colorScale>
        <cfvo type="min"/>
        <cfvo type="max"/>
        <color rgb="FFFCFCFF"/>
        <color rgb="FFF8696B"/>
      </colorScale>
    </cfRule>
  </conditionalFormatting>
  <conditionalFormatting sqref="P87:Q92">
    <cfRule type="colorScale" priority="912">
      <colorScale>
        <cfvo type="min"/>
        <cfvo type="max"/>
        <color rgb="FFFCFCFF"/>
        <color rgb="FFF8696B"/>
      </colorScale>
    </cfRule>
  </conditionalFormatting>
  <conditionalFormatting sqref="R87:R92">
    <cfRule type="colorScale" priority="911">
      <colorScale>
        <cfvo type="min"/>
        <cfvo type="max"/>
        <color rgb="FFFCFCFF"/>
        <color rgb="FFF8696B"/>
      </colorScale>
    </cfRule>
  </conditionalFormatting>
  <conditionalFormatting sqref="S87:S92">
    <cfRule type="colorScale" priority="910">
      <colorScale>
        <cfvo type="min"/>
        <cfvo type="max"/>
        <color rgb="FFFCFCFF"/>
        <color rgb="FFF8696B"/>
      </colorScale>
    </cfRule>
  </conditionalFormatting>
  <conditionalFormatting sqref="T87:U92">
    <cfRule type="colorScale" priority="909">
      <colorScale>
        <cfvo type="min"/>
        <cfvo type="max"/>
        <color rgb="FFFCFCFF"/>
        <color rgb="FFF8696B"/>
      </colorScale>
    </cfRule>
  </conditionalFormatting>
  <conditionalFormatting sqref="F93:F96">
    <cfRule type="colorScale" priority="908">
      <colorScale>
        <cfvo type="min"/>
        <cfvo type="max"/>
        <color rgb="FFFCFCFF"/>
        <color rgb="FFF8696B"/>
      </colorScale>
    </cfRule>
  </conditionalFormatting>
  <conditionalFormatting sqref="H93:I96">
    <cfRule type="colorScale" priority="907">
      <colorScale>
        <cfvo type="min"/>
        <cfvo type="max"/>
        <color rgb="FFFCFCFF"/>
        <color rgb="FFF8696B"/>
      </colorScale>
    </cfRule>
  </conditionalFormatting>
  <conditionalFormatting sqref="L93:M96">
    <cfRule type="colorScale" priority="906">
      <colorScale>
        <cfvo type="min"/>
        <cfvo type="max"/>
        <color rgb="FFFCFCFF"/>
        <color rgb="FFF8696B"/>
      </colorScale>
    </cfRule>
  </conditionalFormatting>
  <conditionalFormatting sqref="N93:N96">
    <cfRule type="colorScale" priority="905">
      <colorScale>
        <cfvo type="min"/>
        <cfvo type="max"/>
        <color rgb="FFFCFCFF"/>
        <color rgb="FFF8696B"/>
      </colorScale>
    </cfRule>
  </conditionalFormatting>
  <conditionalFormatting sqref="O93:O96">
    <cfRule type="colorScale" priority="904">
      <colorScale>
        <cfvo type="min"/>
        <cfvo type="max"/>
        <color rgb="FFFCFCFF"/>
        <color rgb="FFF8696B"/>
      </colorScale>
    </cfRule>
  </conditionalFormatting>
  <conditionalFormatting sqref="R93:R96">
    <cfRule type="colorScale" priority="903">
      <colorScale>
        <cfvo type="min"/>
        <cfvo type="max"/>
        <color rgb="FFFCFCFF"/>
        <color rgb="FFF8696B"/>
      </colorScale>
    </cfRule>
  </conditionalFormatting>
  <conditionalFormatting sqref="S93:S96">
    <cfRule type="colorScale" priority="902">
      <colorScale>
        <cfvo type="min"/>
        <cfvo type="max"/>
        <color rgb="FFFCFCFF"/>
        <color rgb="FFF8696B"/>
      </colorScale>
    </cfRule>
  </conditionalFormatting>
  <conditionalFormatting sqref="J93:J96">
    <cfRule type="colorScale" priority="901">
      <colorScale>
        <cfvo type="min"/>
        <cfvo type="max"/>
        <color rgb="FFFCFCFF"/>
        <color rgb="FFF8696B"/>
      </colorScale>
    </cfRule>
  </conditionalFormatting>
  <conditionalFormatting sqref="F97:F100">
    <cfRule type="colorScale" priority="900">
      <colorScale>
        <cfvo type="min"/>
        <cfvo type="max"/>
        <color rgb="FFFCFCFF"/>
        <color rgb="FFF8696B"/>
      </colorScale>
    </cfRule>
  </conditionalFormatting>
  <conditionalFormatting sqref="G97:G100">
    <cfRule type="colorScale" priority="899">
      <colorScale>
        <cfvo type="min"/>
        <cfvo type="max"/>
        <color rgb="FFFCFCFF"/>
        <color rgb="FFF8696B"/>
      </colorScale>
    </cfRule>
  </conditionalFormatting>
  <conditionalFormatting sqref="H97:I100">
    <cfRule type="colorScale" priority="898">
      <colorScale>
        <cfvo type="min"/>
        <cfvo type="max"/>
        <color rgb="FFFCFCFF"/>
        <color rgb="FFF8696B"/>
      </colorScale>
    </cfRule>
  </conditionalFormatting>
  <conditionalFormatting sqref="J97:J100">
    <cfRule type="colorScale" priority="897">
      <colorScale>
        <cfvo type="min"/>
        <cfvo type="max"/>
        <color rgb="FFFCFCFF"/>
        <color rgb="FFF8696B"/>
      </colorScale>
    </cfRule>
  </conditionalFormatting>
  <conditionalFormatting sqref="K97:K100">
    <cfRule type="colorScale" priority="896">
      <colorScale>
        <cfvo type="min"/>
        <cfvo type="max"/>
        <color rgb="FFFCFCFF"/>
        <color rgb="FFF8696B"/>
      </colorScale>
    </cfRule>
  </conditionalFormatting>
  <conditionalFormatting sqref="L97:M100">
    <cfRule type="colorScale" priority="895">
      <colorScale>
        <cfvo type="min"/>
        <cfvo type="max"/>
        <color rgb="FFFCFCFF"/>
        <color rgb="FFF8696B"/>
      </colorScale>
    </cfRule>
  </conditionalFormatting>
  <conditionalFormatting sqref="N97:N100">
    <cfRule type="colorScale" priority="894">
      <colorScale>
        <cfvo type="min"/>
        <cfvo type="max"/>
        <color rgb="FFFCFCFF"/>
        <color rgb="FFF8696B"/>
      </colorScale>
    </cfRule>
  </conditionalFormatting>
  <conditionalFormatting sqref="O97:O100">
    <cfRule type="colorScale" priority="893">
      <colorScale>
        <cfvo type="min"/>
        <cfvo type="max"/>
        <color rgb="FFFCFCFF"/>
        <color rgb="FFF8696B"/>
      </colorScale>
    </cfRule>
  </conditionalFormatting>
  <conditionalFormatting sqref="P97:Q100">
    <cfRule type="colorScale" priority="892">
      <colorScale>
        <cfvo type="min"/>
        <cfvo type="max"/>
        <color rgb="FFFCFCFF"/>
        <color rgb="FFF8696B"/>
      </colorScale>
    </cfRule>
  </conditionalFormatting>
  <conditionalFormatting sqref="R97:R100">
    <cfRule type="colorScale" priority="891">
      <colorScale>
        <cfvo type="min"/>
        <cfvo type="max"/>
        <color rgb="FFFCFCFF"/>
        <color rgb="FFF8696B"/>
      </colorScale>
    </cfRule>
  </conditionalFormatting>
  <conditionalFormatting sqref="S97:S100">
    <cfRule type="colorScale" priority="890">
      <colorScale>
        <cfvo type="min"/>
        <cfvo type="max"/>
        <color rgb="FFFCFCFF"/>
        <color rgb="FFF8696B"/>
      </colorScale>
    </cfRule>
  </conditionalFormatting>
  <conditionalFormatting sqref="T97:U100">
    <cfRule type="colorScale" priority="889">
      <colorScale>
        <cfvo type="min"/>
        <cfvo type="max"/>
        <color rgb="FFFCFCFF"/>
        <color rgb="FFF8696B"/>
      </colorScale>
    </cfRule>
  </conditionalFormatting>
  <conditionalFormatting sqref="F101:F104">
    <cfRule type="colorScale" priority="888">
      <colorScale>
        <cfvo type="min"/>
        <cfvo type="max"/>
        <color rgb="FFFCFCFF"/>
        <color rgb="FFF8696B"/>
      </colorScale>
    </cfRule>
  </conditionalFormatting>
  <conditionalFormatting sqref="G101:G104">
    <cfRule type="colorScale" priority="887">
      <colorScale>
        <cfvo type="min"/>
        <cfvo type="max"/>
        <color rgb="FFFCFCFF"/>
        <color rgb="FFF8696B"/>
      </colorScale>
    </cfRule>
  </conditionalFormatting>
  <conditionalFormatting sqref="H101:I104">
    <cfRule type="colorScale" priority="886">
      <colorScale>
        <cfvo type="min"/>
        <cfvo type="max"/>
        <color rgb="FFFCFCFF"/>
        <color rgb="FFF8696B"/>
      </colorScale>
    </cfRule>
  </conditionalFormatting>
  <conditionalFormatting sqref="J101:J104">
    <cfRule type="colorScale" priority="885">
      <colorScale>
        <cfvo type="min"/>
        <cfvo type="max"/>
        <color rgb="FFFCFCFF"/>
        <color rgb="FFF8696B"/>
      </colorScale>
    </cfRule>
  </conditionalFormatting>
  <conditionalFormatting sqref="K101:K104">
    <cfRule type="colorScale" priority="884">
      <colorScale>
        <cfvo type="min"/>
        <cfvo type="max"/>
        <color rgb="FFFCFCFF"/>
        <color rgb="FFF8696B"/>
      </colorScale>
    </cfRule>
  </conditionalFormatting>
  <conditionalFormatting sqref="L101:M104">
    <cfRule type="colorScale" priority="883">
      <colorScale>
        <cfvo type="min"/>
        <cfvo type="max"/>
        <color rgb="FFFCFCFF"/>
        <color rgb="FFF8696B"/>
      </colorScale>
    </cfRule>
  </conditionalFormatting>
  <conditionalFormatting sqref="N101:N104">
    <cfRule type="colorScale" priority="882">
      <colorScale>
        <cfvo type="min"/>
        <cfvo type="max"/>
        <color rgb="FFFCFCFF"/>
        <color rgb="FFF8696B"/>
      </colorScale>
    </cfRule>
  </conditionalFormatting>
  <conditionalFormatting sqref="O101:O104">
    <cfRule type="colorScale" priority="881">
      <colorScale>
        <cfvo type="min"/>
        <cfvo type="max"/>
        <color rgb="FFFCFCFF"/>
        <color rgb="FFF8696B"/>
      </colorScale>
    </cfRule>
  </conditionalFormatting>
  <conditionalFormatting sqref="P101:Q104">
    <cfRule type="colorScale" priority="880">
      <colorScale>
        <cfvo type="min"/>
        <cfvo type="max"/>
        <color rgb="FFFCFCFF"/>
        <color rgb="FFF8696B"/>
      </colorScale>
    </cfRule>
  </conditionalFormatting>
  <conditionalFormatting sqref="R101:R104">
    <cfRule type="colorScale" priority="879">
      <colorScale>
        <cfvo type="min"/>
        <cfvo type="max"/>
        <color rgb="FFFCFCFF"/>
        <color rgb="FFF8696B"/>
      </colorScale>
    </cfRule>
  </conditionalFormatting>
  <conditionalFormatting sqref="S101:S104">
    <cfRule type="colorScale" priority="878">
      <colorScale>
        <cfvo type="min"/>
        <cfvo type="max"/>
        <color rgb="FFFCFCFF"/>
        <color rgb="FFF8696B"/>
      </colorScale>
    </cfRule>
  </conditionalFormatting>
  <conditionalFormatting sqref="T101:U104">
    <cfRule type="colorScale" priority="877">
      <colorScale>
        <cfvo type="min"/>
        <cfvo type="max"/>
        <color rgb="FFFCFCFF"/>
        <color rgb="FFF8696B"/>
      </colorScale>
    </cfRule>
  </conditionalFormatting>
  <conditionalFormatting sqref="F105:F108">
    <cfRule type="colorScale" priority="876">
      <colorScale>
        <cfvo type="min"/>
        <cfvo type="max"/>
        <color rgb="FFFCFCFF"/>
        <color rgb="FFF8696B"/>
      </colorScale>
    </cfRule>
  </conditionalFormatting>
  <conditionalFormatting sqref="G105:G108">
    <cfRule type="colorScale" priority="875">
      <colorScale>
        <cfvo type="min"/>
        <cfvo type="max"/>
        <color rgb="FFFCFCFF"/>
        <color rgb="FFF8696B"/>
      </colorScale>
    </cfRule>
  </conditionalFormatting>
  <conditionalFormatting sqref="H105:I108">
    <cfRule type="colorScale" priority="874">
      <colorScale>
        <cfvo type="min"/>
        <cfvo type="max"/>
        <color rgb="FFFCFCFF"/>
        <color rgb="FFF8696B"/>
      </colorScale>
    </cfRule>
  </conditionalFormatting>
  <conditionalFormatting sqref="J105:J108">
    <cfRule type="colorScale" priority="873">
      <colorScale>
        <cfvo type="min"/>
        <cfvo type="max"/>
        <color rgb="FFFCFCFF"/>
        <color rgb="FFF8696B"/>
      </colorScale>
    </cfRule>
  </conditionalFormatting>
  <conditionalFormatting sqref="K105:K108">
    <cfRule type="colorScale" priority="872">
      <colorScale>
        <cfvo type="min"/>
        <cfvo type="max"/>
        <color rgb="FFFCFCFF"/>
        <color rgb="FFF8696B"/>
      </colorScale>
    </cfRule>
  </conditionalFormatting>
  <conditionalFormatting sqref="L105:M108">
    <cfRule type="colorScale" priority="871">
      <colorScale>
        <cfvo type="min"/>
        <cfvo type="max"/>
        <color rgb="FFFCFCFF"/>
        <color rgb="FFF8696B"/>
      </colorScale>
    </cfRule>
  </conditionalFormatting>
  <conditionalFormatting sqref="N105:N108">
    <cfRule type="colorScale" priority="870">
      <colorScale>
        <cfvo type="min"/>
        <cfvo type="max"/>
        <color rgb="FFFCFCFF"/>
        <color rgb="FFF8696B"/>
      </colorScale>
    </cfRule>
  </conditionalFormatting>
  <conditionalFormatting sqref="O105:O108">
    <cfRule type="colorScale" priority="869">
      <colorScale>
        <cfvo type="min"/>
        <cfvo type="max"/>
        <color rgb="FFFCFCFF"/>
        <color rgb="FFF8696B"/>
      </colorScale>
    </cfRule>
  </conditionalFormatting>
  <conditionalFormatting sqref="P105:Q108">
    <cfRule type="colorScale" priority="868">
      <colorScale>
        <cfvo type="min"/>
        <cfvo type="max"/>
        <color rgb="FFFCFCFF"/>
        <color rgb="FFF8696B"/>
      </colorScale>
    </cfRule>
  </conditionalFormatting>
  <conditionalFormatting sqref="R105:R108">
    <cfRule type="colorScale" priority="867">
      <colorScale>
        <cfvo type="min"/>
        <cfvo type="max"/>
        <color rgb="FFFCFCFF"/>
        <color rgb="FFF8696B"/>
      </colorScale>
    </cfRule>
  </conditionalFormatting>
  <conditionalFormatting sqref="S105:S108">
    <cfRule type="colorScale" priority="866">
      <colorScale>
        <cfvo type="min"/>
        <cfvo type="max"/>
        <color rgb="FFFCFCFF"/>
        <color rgb="FFF8696B"/>
      </colorScale>
    </cfRule>
  </conditionalFormatting>
  <conditionalFormatting sqref="T105:U108">
    <cfRule type="colorScale" priority="865">
      <colorScale>
        <cfvo type="min"/>
        <cfvo type="max"/>
        <color rgb="FFFCFCFF"/>
        <color rgb="FFF8696B"/>
      </colorScale>
    </cfRule>
  </conditionalFormatting>
  <conditionalFormatting sqref="H109:I112">
    <cfRule type="colorScale" priority="864">
      <colorScale>
        <cfvo type="min"/>
        <cfvo type="max"/>
        <color rgb="FFFCFCFF"/>
        <color rgb="FFF8696B"/>
      </colorScale>
    </cfRule>
  </conditionalFormatting>
  <conditionalFormatting sqref="L109:M112">
    <cfRule type="colorScale" priority="863">
      <colorScale>
        <cfvo type="min"/>
        <cfvo type="max"/>
        <color rgb="FFFCFCFF"/>
        <color rgb="FFF8696B"/>
      </colorScale>
    </cfRule>
  </conditionalFormatting>
  <conditionalFormatting sqref="F113:F116">
    <cfRule type="colorScale" priority="862">
      <colorScale>
        <cfvo type="min"/>
        <cfvo type="max"/>
        <color rgb="FFFCFCFF"/>
        <color rgb="FFF8696B"/>
      </colorScale>
    </cfRule>
  </conditionalFormatting>
  <conditionalFormatting sqref="G113:G116">
    <cfRule type="colorScale" priority="861">
      <colorScale>
        <cfvo type="min"/>
        <cfvo type="max"/>
        <color rgb="FFFCFCFF"/>
        <color rgb="FFF8696B"/>
      </colorScale>
    </cfRule>
  </conditionalFormatting>
  <conditionalFormatting sqref="H113:I116">
    <cfRule type="colorScale" priority="860">
      <colorScale>
        <cfvo type="min"/>
        <cfvo type="max"/>
        <color rgb="FFFCFCFF"/>
        <color rgb="FFF8696B"/>
      </colorScale>
    </cfRule>
  </conditionalFormatting>
  <conditionalFormatting sqref="J113:J116">
    <cfRule type="colorScale" priority="859">
      <colorScale>
        <cfvo type="min"/>
        <cfvo type="max"/>
        <color rgb="FFFCFCFF"/>
        <color rgb="FFF8696B"/>
      </colorScale>
    </cfRule>
  </conditionalFormatting>
  <conditionalFormatting sqref="K113:K116">
    <cfRule type="colorScale" priority="858">
      <colorScale>
        <cfvo type="min"/>
        <cfvo type="max"/>
        <color rgb="FFFCFCFF"/>
        <color rgb="FFF8696B"/>
      </colorScale>
    </cfRule>
  </conditionalFormatting>
  <conditionalFormatting sqref="L113:M116">
    <cfRule type="colorScale" priority="857">
      <colorScale>
        <cfvo type="min"/>
        <cfvo type="max"/>
        <color rgb="FFFCFCFF"/>
        <color rgb="FFF8696B"/>
      </colorScale>
    </cfRule>
  </conditionalFormatting>
  <conditionalFormatting sqref="O113:O116">
    <cfRule type="colorScale" priority="856">
      <colorScale>
        <cfvo type="min"/>
        <cfvo type="max"/>
        <color rgb="FFFCFCFF"/>
        <color rgb="FFF8696B"/>
      </colorScale>
    </cfRule>
  </conditionalFormatting>
  <conditionalFormatting sqref="P113:Q116">
    <cfRule type="colorScale" priority="855">
      <colorScale>
        <cfvo type="min"/>
        <cfvo type="max"/>
        <color rgb="FFFCFCFF"/>
        <color rgb="FFF8696B"/>
      </colorScale>
    </cfRule>
  </conditionalFormatting>
  <conditionalFormatting sqref="S113:S116">
    <cfRule type="colorScale" priority="854">
      <colorScale>
        <cfvo type="min"/>
        <cfvo type="max"/>
        <color rgb="FFFCFCFF"/>
        <color rgb="FFF8696B"/>
      </colorScale>
    </cfRule>
  </conditionalFormatting>
  <conditionalFormatting sqref="T113:U116">
    <cfRule type="colorScale" priority="853">
      <colorScale>
        <cfvo type="min"/>
        <cfvo type="max"/>
        <color rgb="FFFCFCFF"/>
        <color rgb="FFF8696B"/>
      </colorScale>
    </cfRule>
  </conditionalFormatting>
  <conditionalFormatting sqref="G117:G123">
    <cfRule type="colorScale" priority="852">
      <colorScale>
        <cfvo type="min"/>
        <cfvo type="max"/>
        <color rgb="FFFCFCFF"/>
        <color rgb="FFF8696B"/>
      </colorScale>
    </cfRule>
  </conditionalFormatting>
  <conditionalFormatting sqref="K117:K123">
    <cfRule type="colorScale" priority="851">
      <colorScale>
        <cfvo type="min"/>
        <cfvo type="max"/>
        <color rgb="FFFCFCFF"/>
        <color rgb="FFF8696B"/>
      </colorScale>
    </cfRule>
  </conditionalFormatting>
  <conditionalFormatting sqref="N117:N123">
    <cfRule type="colorScale" priority="850">
      <colorScale>
        <cfvo type="min"/>
        <cfvo type="max"/>
        <color rgb="FFFCFCFF"/>
        <color rgb="FFF8696B"/>
      </colorScale>
    </cfRule>
  </conditionalFormatting>
  <conditionalFormatting sqref="P117:Q123">
    <cfRule type="colorScale" priority="849">
      <colorScale>
        <cfvo type="min"/>
        <cfvo type="max"/>
        <color rgb="FFFCFCFF"/>
        <color rgb="FFF8696B"/>
      </colorScale>
    </cfRule>
  </conditionalFormatting>
  <conditionalFormatting sqref="R117:R123">
    <cfRule type="colorScale" priority="848">
      <colorScale>
        <cfvo type="min"/>
        <cfvo type="max"/>
        <color rgb="FFFCFCFF"/>
        <color rgb="FFF8696B"/>
      </colorScale>
    </cfRule>
  </conditionalFormatting>
  <conditionalFormatting sqref="T117:U123">
    <cfRule type="colorScale" priority="847">
      <colorScale>
        <cfvo type="min"/>
        <cfvo type="max"/>
        <color rgb="FFFCFCFF"/>
        <color rgb="FFF8696B"/>
      </colorScale>
    </cfRule>
  </conditionalFormatting>
  <conditionalFormatting sqref="F124:F127">
    <cfRule type="colorScale" priority="846">
      <colorScale>
        <cfvo type="min"/>
        <cfvo type="max"/>
        <color rgb="FFFCFCFF"/>
        <color rgb="FFF8696B"/>
      </colorScale>
    </cfRule>
  </conditionalFormatting>
  <conditionalFormatting sqref="G124:G127">
    <cfRule type="colorScale" priority="845">
      <colorScale>
        <cfvo type="min"/>
        <cfvo type="max"/>
        <color rgb="FFFCFCFF"/>
        <color rgb="FFF8696B"/>
      </colorScale>
    </cfRule>
  </conditionalFormatting>
  <conditionalFormatting sqref="H124:I127">
    <cfRule type="colorScale" priority="844">
      <colorScale>
        <cfvo type="min"/>
        <cfvo type="max"/>
        <color rgb="FFFCFCFF"/>
        <color rgb="FFF8696B"/>
      </colorScale>
    </cfRule>
  </conditionalFormatting>
  <conditionalFormatting sqref="J124:J127">
    <cfRule type="colorScale" priority="843">
      <colorScale>
        <cfvo type="min"/>
        <cfvo type="max"/>
        <color rgb="FFFCFCFF"/>
        <color rgb="FFF8696B"/>
      </colorScale>
    </cfRule>
  </conditionalFormatting>
  <conditionalFormatting sqref="K124:K127">
    <cfRule type="colorScale" priority="842">
      <colorScale>
        <cfvo type="min"/>
        <cfvo type="max"/>
        <color rgb="FFFCFCFF"/>
        <color rgb="FFF8696B"/>
      </colorScale>
    </cfRule>
  </conditionalFormatting>
  <conditionalFormatting sqref="L124:M127">
    <cfRule type="colorScale" priority="841">
      <colorScale>
        <cfvo type="min"/>
        <cfvo type="max"/>
        <color rgb="FFFCFCFF"/>
        <color rgb="FFF8696B"/>
      </colorScale>
    </cfRule>
  </conditionalFormatting>
  <conditionalFormatting sqref="N124:N127">
    <cfRule type="colorScale" priority="840">
      <colorScale>
        <cfvo type="min"/>
        <cfvo type="max"/>
        <color rgb="FFFCFCFF"/>
        <color rgb="FFF8696B"/>
      </colorScale>
    </cfRule>
  </conditionalFormatting>
  <conditionalFormatting sqref="O124:O127">
    <cfRule type="colorScale" priority="839">
      <colorScale>
        <cfvo type="min"/>
        <cfvo type="max"/>
        <color rgb="FFFCFCFF"/>
        <color rgb="FFF8696B"/>
      </colorScale>
    </cfRule>
  </conditionalFormatting>
  <conditionalFormatting sqref="P124:Q127">
    <cfRule type="colorScale" priority="838">
      <colorScale>
        <cfvo type="min"/>
        <cfvo type="max"/>
        <color rgb="FFFCFCFF"/>
        <color rgb="FFF8696B"/>
      </colorScale>
    </cfRule>
  </conditionalFormatting>
  <conditionalFormatting sqref="R124:R127">
    <cfRule type="colorScale" priority="837">
      <colorScale>
        <cfvo type="min"/>
        <cfvo type="max"/>
        <color rgb="FFFCFCFF"/>
        <color rgb="FFF8696B"/>
      </colorScale>
    </cfRule>
  </conditionalFormatting>
  <conditionalFormatting sqref="S124:S127">
    <cfRule type="colorScale" priority="836">
      <colorScale>
        <cfvo type="min"/>
        <cfvo type="max"/>
        <color rgb="FFFCFCFF"/>
        <color rgb="FFF8696B"/>
      </colorScale>
    </cfRule>
  </conditionalFormatting>
  <conditionalFormatting sqref="T124:U127">
    <cfRule type="colorScale" priority="835">
      <colorScale>
        <cfvo type="min"/>
        <cfvo type="max"/>
        <color rgb="FFFCFCFF"/>
        <color rgb="FFF8696B"/>
      </colorScale>
    </cfRule>
  </conditionalFormatting>
  <conditionalFormatting sqref="F128:F133">
    <cfRule type="colorScale" priority="834">
      <colorScale>
        <cfvo type="min"/>
        <cfvo type="max"/>
        <color rgb="FFFCFCFF"/>
        <color rgb="FFF8696B"/>
      </colorScale>
    </cfRule>
  </conditionalFormatting>
  <conditionalFormatting sqref="G128:G133">
    <cfRule type="colorScale" priority="833">
      <colorScale>
        <cfvo type="min"/>
        <cfvo type="max"/>
        <color rgb="FFFCFCFF"/>
        <color rgb="FFF8696B"/>
      </colorScale>
    </cfRule>
  </conditionalFormatting>
  <conditionalFormatting sqref="H128:I133">
    <cfRule type="colorScale" priority="832">
      <colorScale>
        <cfvo type="min"/>
        <cfvo type="max"/>
        <color rgb="FFFCFCFF"/>
        <color rgb="FFF8696B"/>
      </colorScale>
    </cfRule>
  </conditionalFormatting>
  <conditionalFormatting sqref="J128:J133">
    <cfRule type="colorScale" priority="831">
      <colorScale>
        <cfvo type="min"/>
        <cfvo type="max"/>
        <color rgb="FFFCFCFF"/>
        <color rgb="FFF8696B"/>
      </colorScale>
    </cfRule>
  </conditionalFormatting>
  <conditionalFormatting sqref="K128:K133">
    <cfRule type="colorScale" priority="830">
      <colorScale>
        <cfvo type="min"/>
        <cfvo type="max"/>
        <color rgb="FFFCFCFF"/>
        <color rgb="FFF8696B"/>
      </colorScale>
    </cfRule>
  </conditionalFormatting>
  <conditionalFormatting sqref="L128:M133">
    <cfRule type="colorScale" priority="829">
      <colorScale>
        <cfvo type="min"/>
        <cfvo type="max"/>
        <color rgb="FFFCFCFF"/>
        <color rgb="FFF8696B"/>
      </colorScale>
    </cfRule>
  </conditionalFormatting>
  <conditionalFormatting sqref="N128:N133">
    <cfRule type="colorScale" priority="828">
      <colorScale>
        <cfvo type="min"/>
        <cfvo type="max"/>
        <color rgb="FFFCFCFF"/>
        <color rgb="FFF8696B"/>
      </colorScale>
    </cfRule>
  </conditionalFormatting>
  <conditionalFormatting sqref="O128:O133">
    <cfRule type="colorScale" priority="827">
      <colorScale>
        <cfvo type="min"/>
        <cfvo type="max"/>
        <color rgb="FFFCFCFF"/>
        <color rgb="FFF8696B"/>
      </colorScale>
    </cfRule>
  </conditionalFormatting>
  <conditionalFormatting sqref="P128:Q133">
    <cfRule type="colorScale" priority="826">
      <colorScale>
        <cfvo type="min"/>
        <cfvo type="max"/>
        <color rgb="FFFCFCFF"/>
        <color rgb="FFF8696B"/>
      </colorScale>
    </cfRule>
  </conditionalFormatting>
  <conditionalFormatting sqref="R128:R133">
    <cfRule type="colorScale" priority="825">
      <colorScale>
        <cfvo type="min"/>
        <cfvo type="max"/>
        <color rgb="FFFCFCFF"/>
        <color rgb="FFF8696B"/>
      </colorScale>
    </cfRule>
  </conditionalFormatting>
  <conditionalFormatting sqref="S128:S133">
    <cfRule type="colorScale" priority="824">
      <colorScale>
        <cfvo type="min"/>
        <cfvo type="max"/>
        <color rgb="FFFCFCFF"/>
        <color rgb="FFF8696B"/>
      </colorScale>
    </cfRule>
  </conditionalFormatting>
  <conditionalFormatting sqref="T128:U133">
    <cfRule type="colorScale" priority="823">
      <colorScale>
        <cfvo type="min"/>
        <cfvo type="max"/>
        <color rgb="FFFCFCFF"/>
        <color rgb="FFF8696B"/>
      </colorScale>
    </cfRule>
  </conditionalFormatting>
  <conditionalFormatting sqref="F154:F158">
    <cfRule type="colorScale" priority="822">
      <colorScale>
        <cfvo type="min"/>
        <cfvo type="max"/>
        <color rgb="FFFCFCFF"/>
        <color rgb="FFF8696B"/>
      </colorScale>
    </cfRule>
  </conditionalFormatting>
  <conditionalFormatting sqref="J154:J157">
    <cfRule type="colorScale" priority="821">
      <colorScale>
        <cfvo type="min"/>
        <cfvo type="max"/>
        <color rgb="FFFCFCFF"/>
        <color rgb="FFF8696B"/>
      </colorScale>
    </cfRule>
  </conditionalFormatting>
  <conditionalFormatting sqref="F134:F137">
    <cfRule type="colorScale" priority="820">
      <colorScale>
        <cfvo type="min"/>
        <cfvo type="max"/>
        <color rgb="FFFCFCFF"/>
        <color rgb="FFF8696B"/>
      </colorScale>
    </cfRule>
  </conditionalFormatting>
  <conditionalFormatting sqref="G134:G137">
    <cfRule type="colorScale" priority="819">
      <colorScale>
        <cfvo type="min"/>
        <cfvo type="max"/>
        <color rgb="FFFCFCFF"/>
        <color rgb="FFF8696B"/>
      </colorScale>
    </cfRule>
  </conditionalFormatting>
  <conditionalFormatting sqref="H134:H137">
    <cfRule type="colorScale" priority="818">
      <colorScale>
        <cfvo type="min"/>
        <cfvo type="max"/>
        <color rgb="FFFCFCFF"/>
        <color rgb="FFF8696B"/>
      </colorScale>
    </cfRule>
  </conditionalFormatting>
  <conditionalFormatting sqref="J134:J137">
    <cfRule type="colorScale" priority="817">
      <colorScale>
        <cfvo type="min"/>
        <cfvo type="max"/>
        <color rgb="FFFCFCFF"/>
        <color rgb="FFF8696B"/>
      </colorScale>
    </cfRule>
  </conditionalFormatting>
  <conditionalFormatting sqref="K134:K137">
    <cfRule type="colorScale" priority="816">
      <colorScale>
        <cfvo type="min"/>
        <cfvo type="max"/>
        <color rgb="FFFCFCFF"/>
        <color rgb="FFF8696B"/>
      </colorScale>
    </cfRule>
  </conditionalFormatting>
  <conditionalFormatting sqref="L134:L137">
    <cfRule type="colorScale" priority="815">
      <colorScale>
        <cfvo type="min"/>
        <cfvo type="max"/>
        <color rgb="FFFCFCFF"/>
        <color rgb="FFF8696B"/>
      </colorScale>
    </cfRule>
  </conditionalFormatting>
  <conditionalFormatting sqref="F138:F145">
    <cfRule type="colorScale" priority="814">
      <colorScale>
        <cfvo type="min"/>
        <cfvo type="max"/>
        <color rgb="FFFCFCFF"/>
        <color rgb="FFF8696B"/>
      </colorScale>
    </cfRule>
  </conditionalFormatting>
  <conditionalFormatting sqref="G138:G145">
    <cfRule type="colorScale" priority="813">
      <colorScale>
        <cfvo type="min"/>
        <cfvo type="max"/>
        <color rgb="FFFCFCFF"/>
        <color rgb="FFF8696B"/>
      </colorScale>
    </cfRule>
  </conditionalFormatting>
  <conditionalFormatting sqref="H138:H145">
    <cfRule type="colorScale" priority="812">
      <colorScale>
        <cfvo type="min"/>
        <cfvo type="max"/>
        <color rgb="FFFCFCFF"/>
        <color rgb="FFF8696B"/>
      </colorScale>
    </cfRule>
  </conditionalFormatting>
  <conditionalFormatting sqref="J138:J145">
    <cfRule type="colorScale" priority="811">
      <colorScale>
        <cfvo type="min"/>
        <cfvo type="max"/>
        <color rgb="FFFCFCFF"/>
        <color rgb="FFF8696B"/>
      </colorScale>
    </cfRule>
  </conditionalFormatting>
  <conditionalFormatting sqref="K138:K145">
    <cfRule type="colorScale" priority="810">
      <colorScale>
        <cfvo type="min"/>
        <cfvo type="max"/>
        <color rgb="FFFCFCFF"/>
        <color rgb="FFF8696B"/>
      </colorScale>
    </cfRule>
  </conditionalFormatting>
  <conditionalFormatting sqref="L138:L145">
    <cfRule type="colorScale" priority="809">
      <colorScale>
        <cfvo type="min"/>
        <cfvo type="max"/>
        <color rgb="FFFCFCFF"/>
        <color rgb="FFF8696B"/>
      </colorScale>
    </cfRule>
  </conditionalFormatting>
  <conditionalFormatting sqref="F146:F149">
    <cfRule type="colorScale" priority="808">
      <colorScale>
        <cfvo type="min"/>
        <cfvo type="max"/>
        <color rgb="FFFCFCFF"/>
        <color rgb="FFF8696B"/>
      </colorScale>
    </cfRule>
  </conditionalFormatting>
  <conditionalFormatting sqref="G146:G149">
    <cfRule type="colorScale" priority="807">
      <colorScale>
        <cfvo type="min"/>
        <cfvo type="max"/>
        <color rgb="FFFCFCFF"/>
        <color rgb="FFF8696B"/>
      </colorScale>
    </cfRule>
  </conditionalFormatting>
  <conditionalFormatting sqref="H146:H149">
    <cfRule type="colorScale" priority="806">
      <colorScale>
        <cfvo type="min"/>
        <cfvo type="max"/>
        <color rgb="FFFCFCFF"/>
        <color rgb="FFF8696B"/>
      </colorScale>
    </cfRule>
  </conditionalFormatting>
  <conditionalFormatting sqref="J146:J149">
    <cfRule type="colorScale" priority="805">
      <colorScale>
        <cfvo type="min"/>
        <cfvo type="max"/>
        <color rgb="FFFCFCFF"/>
        <color rgb="FFF8696B"/>
      </colorScale>
    </cfRule>
  </conditionalFormatting>
  <conditionalFormatting sqref="K146:K149">
    <cfRule type="colorScale" priority="804">
      <colorScale>
        <cfvo type="min"/>
        <cfvo type="max"/>
        <color rgb="FFFCFCFF"/>
        <color rgb="FFF8696B"/>
      </colorScale>
    </cfRule>
  </conditionalFormatting>
  <conditionalFormatting sqref="L146:L149">
    <cfRule type="colorScale" priority="803">
      <colorScale>
        <cfvo type="min"/>
        <cfvo type="max"/>
        <color rgb="FFFCFCFF"/>
        <color rgb="FFF8696B"/>
      </colorScale>
    </cfRule>
  </conditionalFormatting>
  <conditionalFormatting sqref="F150:F153">
    <cfRule type="colorScale" priority="802">
      <colorScale>
        <cfvo type="min"/>
        <cfvo type="max"/>
        <color rgb="FFFCFCFF"/>
        <color rgb="FFF8696B"/>
      </colorScale>
    </cfRule>
  </conditionalFormatting>
  <conditionalFormatting sqref="J150:J153">
    <cfRule type="colorScale" priority="801">
      <colorScale>
        <cfvo type="min"/>
        <cfvo type="max"/>
        <color rgb="FFFCFCFF"/>
        <color rgb="FFF8696B"/>
      </colorScale>
    </cfRule>
  </conditionalFormatting>
  <conditionalFormatting sqref="L142:L145">
    <cfRule type="colorScale" priority="800">
      <colorScale>
        <cfvo type="min"/>
        <cfvo type="max"/>
        <color rgb="FFFCFCFF"/>
        <color rgb="FFF8696B"/>
      </colorScale>
    </cfRule>
  </conditionalFormatting>
  <conditionalFormatting sqref="H142:H145">
    <cfRule type="colorScale" priority="799">
      <colorScale>
        <cfvo type="min"/>
        <cfvo type="max"/>
        <color rgb="FFFCFCFF"/>
        <color rgb="FFF8696B"/>
      </colorScale>
    </cfRule>
  </conditionalFormatting>
  <conditionalFormatting sqref="K142:K145">
    <cfRule type="colorScale" priority="798">
      <colorScale>
        <cfvo type="min"/>
        <cfvo type="max"/>
        <color rgb="FFFCFCFF"/>
        <color rgb="FFF8696B"/>
      </colorScale>
    </cfRule>
  </conditionalFormatting>
  <conditionalFormatting sqref="G142:G145">
    <cfRule type="colorScale" priority="797">
      <colorScale>
        <cfvo type="min"/>
        <cfvo type="max"/>
        <color rgb="FFFCFCFF"/>
        <color rgb="FFF8696B"/>
      </colorScale>
    </cfRule>
  </conditionalFormatting>
  <conditionalFormatting sqref="J142:J145">
    <cfRule type="colorScale" priority="796">
      <colorScale>
        <cfvo type="min"/>
        <cfvo type="max"/>
        <color rgb="FFFCFCFF"/>
        <color rgb="FFF8696B"/>
      </colorScale>
    </cfRule>
  </conditionalFormatting>
  <conditionalFormatting sqref="F142:F145">
    <cfRule type="colorScale" priority="795">
      <colorScale>
        <cfvo type="min"/>
        <cfvo type="max"/>
        <color rgb="FFFCFCFF"/>
        <color rgb="FFF8696B"/>
      </colorScale>
    </cfRule>
  </conditionalFormatting>
  <conditionalFormatting sqref="N134:N137">
    <cfRule type="colorScale" priority="794">
      <colorScale>
        <cfvo type="min"/>
        <cfvo type="max"/>
        <color rgb="FFFCFCFF"/>
        <color rgb="FFF8696B"/>
      </colorScale>
    </cfRule>
  </conditionalFormatting>
  <conditionalFormatting sqref="O134:O137">
    <cfRule type="colorScale" priority="793">
      <colorScale>
        <cfvo type="min"/>
        <cfvo type="max"/>
        <color rgb="FFFCFCFF"/>
        <color rgb="FFF8696B"/>
      </colorScale>
    </cfRule>
  </conditionalFormatting>
  <conditionalFormatting sqref="P134:P137">
    <cfRule type="colorScale" priority="792">
      <colorScale>
        <cfvo type="min"/>
        <cfvo type="max"/>
        <color rgb="FFFCFCFF"/>
        <color rgb="FFF8696B"/>
      </colorScale>
    </cfRule>
  </conditionalFormatting>
  <conditionalFormatting sqref="R134:R137">
    <cfRule type="colorScale" priority="791">
      <colorScale>
        <cfvo type="min"/>
        <cfvo type="max"/>
        <color rgb="FFFCFCFF"/>
        <color rgb="FFF8696B"/>
      </colorScale>
    </cfRule>
  </conditionalFormatting>
  <conditionalFormatting sqref="S134:S137">
    <cfRule type="colorScale" priority="790">
      <colorScale>
        <cfvo type="min"/>
        <cfvo type="max"/>
        <color rgb="FFFCFCFF"/>
        <color rgb="FFF8696B"/>
      </colorScale>
    </cfRule>
  </conditionalFormatting>
  <conditionalFormatting sqref="T134:U137">
    <cfRule type="colorScale" priority="789">
      <colorScale>
        <cfvo type="min"/>
        <cfvo type="max"/>
        <color rgb="FFFCFCFF"/>
        <color rgb="FFF8696B"/>
      </colorScale>
    </cfRule>
  </conditionalFormatting>
  <conditionalFormatting sqref="N138:N141">
    <cfRule type="colorScale" priority="788">
      <colorScale>
        <cfvo type="min"/>
        <cfvo type="max"/>
        <color rgb="FFFCFCFF"/>
        <color rgb="FFF8696B"/>
      </colorScale>
    </cfRule>
  </conditionalFormatting>
  <conditionalFormatting sqref="O138:O141">
    <cfRule type="colorScale" priority="787">
      <colorScale>
        <cfvo type="min"/>
        <cfvo type="max"/>
        <color rgb="FFFCFCFF"/>
        <color rgb="FFF8696B"/>
      </colorScale>
    </cfRule>
  </conditionalFormatting>
  <conditionalFormatting sqref="P138:P141">
    <cfRule type="colorScale" priority="786">
      <colorScale>
        <cfvo type="min"/>
        <cfvo type="max"/>
        <color rgb="FFFCFCFF"/>
        <color rgb="FFF8696B"/>
      </colorScale>
    </cfRule>
  </conditionalFormatting>
  <conditionalFormatting sqref="R138:R141">
    <cfRule type="colorScale" priority="785">
      <colorScale>
        <cfvo type="min"/>
        <cfvo type="max"/>
        <color rgb="FFFCFCFF"/>
        <color rgb="FFF8696B"/>
      </colorScale>
    </cfRule>
  </conditionalFormatting>
  <conditionalFormatting sqref="S138:S141">
    <cfRule type="colorScale" priority="784">
      <colorScale>
        <cfvo type="min"/>
        <cfvo type="max"/>
        <color rgb="FFFCFCFF"/>
        <color rgb="FFF8696B"/>
      </colorScale>
    </cfRule>
  </conditionalFormatting>
  <conditionalFormatting sqref="T138:U141">
    <cfRule type="colorScale" priority="783">
      <colorScale>
        <cfvo type="min"/>
        <cfvo type="max"/>
        <color rgb="FFFCFCFF"/>
        <color rgb="FFF8696B"/>
      </colorScale>
    </cfRule>
  </conditionalFormatting>
  <conditionalFormatting sqref="N142:N145">
    <cfRule type="colorScale" priority="782">
      <colorScale>
        <cfvo type="min"/>
        <cfvo type="max"/>
        <color rgb="FFFCFCFF"/>
        <color rgb="FFF8696B"/>
      </colorScale>
    </cfRule>
  </conditionalFormatting>
  <conditionalFormatting sqref="O142:O145">
    <cfRule type="colorScale" priority="781">
      <colorScale>
        <cfvo type="min"/>
        <cfvo type="max"/>
        <color rgb="FFFCFCFF"/>
        <color rgb="FFF8696B"/>
      </colorScale>
    </cfRule>
  </conditionalFormatting>
  <conditionalFormatting sqref="P142:P145">
    <cfRule type="colorScale" priority="780">
      <colorScale>
        <cfvo type="min"/>
        <cfvo type="max"/>
        <color rgb="FFFCFCFF"/>
        <color rgb="FFF8696B"/>
      </colorScale>
    </cfRule>
  </conditionalFormatting>
  <conditionalFormatting sqref="R142:R145">
    <cfRule type="colorScale" priority="779">
      <colorScale>
        <cfvo type="min"/>
        <cfvo type="max"/>
        <color rgb="FFFCFCFF"/>
        <color rgb="FFF8696B"/>
      </colorScale>
    </cfRule>
  </conditionalFormatting>
  <conditionalFormatting sqref="S142:S145">
    <cfRule type="colorScale" priority="778">
      <colorScale>
        <cfvo type="min"/>
        <cfvo type="max"/>
        <color rgb="FFFCFCFF"/>
        <color rgb="FFF8696B"/>
      </colorScale>
    </cfRule>
  </conditionalFormatting>
  <conditionalFormatting sqref="T142:U145">
    <cfRule type="colorScale" priority="777">
      <colorScale>
        <cfvo type="min"/>
        <cfvo type="max"/>
        <color rgb="FFFCFCFF"/>
        <color rgb="FFF8696B"/>
      </colorScale>
    </cfRule>
  </conditionalFormatting>
  <conditionalFormatting sqref="N146:N149">
    <cfRule type="colorScale" priority="776">
      <colorScale>
        <cfvo type="min"/>
        <cfvo type="max"/>
        <color rgb="FFFCFCFF"/>
        <color rgb="FFF8696B"/>
      </colorScale>
    </cfRule>
  </conditionalFormatting>
  <conditionalFormatting sqref="O146:O149">
    <cfRule type="colorScale" priority="775">
      <colorScale>
        <cfvo type="min"/>
        <cfvo type="max"/>
        <color rgb="FFFCFCFF"/>
        <color rgb="FFF8696B"/>
      </colorScale>
    </cfRule>
  </conditionalFormatting>
  <conditionalFormatting sqref="P146:P149">
    <cfRule type="colorScale" priority="774">
      <colorScale>
        <cfvo type="min"/>
        <cfvo type="max"/>
        <color rgb="FFFCFCFF"/>
        <color rgb="FFF8696B"/>
      </colorScale>
    </cfRule>
  </conditionalFormatting>
  <conditionalFormatting sqref="R146:R149">
    <cfRule type="colorScale" priority="773">
      <colorScale>
        <cfvo type="min"/>
        <cfvo type="max"/>
        <color rgb="FFFCFCFF"/>
        <color rgb="FFF8696B"/>
      </colorScale>
    </cfRule>
  </conditionalFormatting>
  <conditionalFormatting sqref="S146:S149">
    <cfRule type="colorScale" priority="772">
      <colorScale>
        <cfvo type="min"/>
        <cfvo type="max"/>
        <color rgb="FFFCFCFF"/>
        <color rgb="FFF8696B"/>
      </colorScale>
    </cfRule>
  </conditionalFormatting>
  <conditionalFormatting sqref="T146:U149">
    <cfRule type="colorScale" priority="771">
      <colorScale>
        <cfvo type="min"/>
        <cfvo type="max"/>
        <color rgb="FFFCFCFF"/>
        <color rgb="FFF8696B"/>
      </colorScale>
    </cfRule>
  </conditionalFormatting>
  <conditionalFormatting sqref="N150:N153">
    <cfRule type="colorScale" priority="770">
      <colorScale>
        <cfvo type="min"/>
        <cfvo type="max"/>
        <color rgb="FFFCFCFF"/>
        <color rgb="FFF8696B"/>
      </colorScale>
    </cfRule>
  </conditionalFormatting>
  <conditionalFormatting sqref="O150:O153">
    <cfRule type="colorScale" priority="769">
      <colorScale>
        <cfvo type="min"/>
        <cfvo type="max"/>
        <color rgb="FFFCFCFF"/>
        <color rgb="FFF8696B"/>
      </colorScale>
    </cfRule>
  </conditionalFormatting>
  <conditionalFormatting sqref="R150:R153">
    <cfRule type="colorScale" priority="768">
      <colorScale>
        <cfvo type="min"/>
        <cfvo type="max"/>
        <color rgb="FFFCFCFF"/>
        <color rgb="FFF8696B"/>
      </colorScale>
    </cfRule>
  </conditionalFormatting>
  <conditionalFormatting sqref="G154:G161">
    <cfRule type="colorScale" priority="1067">
      <colorScale>
        <cfvo type="min"/>
        <cfvo type="max"/>
        <color rgb="FFFCFCFF"/>
        <color rgb="FFF8696B"/>
      </colorScale>
    </cfRule>
  </conditionalFormatting>
  <conditionalFormatting sqref="H154:I157 I158:I165">
    <cfRule type="colorScale" priority="1068">
      <colorScale>
        <cfvo type="min"/>
        <cfvo type="max"/>
        <color rgb="FFFCFCFF"/>
        <color rgb="FFF8696B"/>
      </colorScale>
    </cfRule>
  </conditionalFormatting>
  <conditionalFormatting sqref="K154:K161">
    <cfRule type="colorScale" priority="1069">
      <colorScale>
        <cfvo type="min"/>
        <cfvo type="max"/>
        <color rgb="FFFCFCFF"/>
        <color rgb="FFF8696B"/>
      </colorScale>
    </cfRule>
  </conditionalFormatting>
  <conditionalFormatting sqref="L154:M157 M158:M165">
    <cfRule type="colorScale" priority="1070">
      <colorScale>
        <cfvo type="min"/>
        <cfvo type="max"/>
        <color rgb="FFFCFCFF"/>
        <color rgb="FFF8696B"/>
      </colorScale>
    </cfRule>
  </conditionalFormatting>
  <conditionalFormatting sqref="N154:N165">
    <cfRule type="colorScale" priority="1071">
      <colorScale>
        <cfvo type="min"/>
        <cfvo type="max"/>
        <color rgb="FFFCFCFF"/>
        <color rgb="FFF8696B"/>
      </colorScale>
    </cfRule>
  </conditionalFormatting>
  <conditionalFormatting sqref="O154:O161">
    <cfRule type="colorScale" priority="1072">
      <colorScale>
        <cfvo type="min"/>
        <cfvo type="max"/>
        <color rgb="FFFCFCFF"/>
        <color rgb="FFF8696B"/>
      </colorScale>
    </cfRule>
  </conditionalFormatting>
  <conditionalFormatting sqref="P154:Q157 Q158:Q165">
    <cfRule type="colorScale" priority="1073">
      <colorScale>
        <cfvo type="min"/>
        <cfvo type="max"/>
        <color rgb="FFFCFCFF"/>
        <color rgb="FFF8696B"/>
      </colorScale>
    </cfRule>
  </conditionalFormatting>
  <conditionalFormatting sqref="R154:R165">
    <cfRule type="colorScale" priority="1074">
      <colorScale>
        <cfvo type="min"/>
        <cfvo type="max"/>
        <color rgb="FFFCFCFF"/>
        <color rgb="FFF8696B"/>
      </colorScale>
    </cfRule>
  </conditionalFormatting>
  <conditionalFormatting sqref="S154:S161">
    <cfRule type="colorScale" priority="1075">
      <colorScale>
        <cfvo type="min"/>
        <cfvo type="max"/>
        <color rgb="FFFCFCFF"/>
        <color rgb="FFF8696B"/>
      </colorScale>
    </cfRule>
  </conditionalFormatting>
  <conditionalFormatting sqref="T154:U157">
    <cfRule type="colorScale" priority="1076">
      <colorScale>
        <cfvo type="min"/>
        <cfvo type="max"/>
        <color rgb="FFFCFCFF"/>
        <color rgb="FFF8696B"/>
      </colorScale>
    </cfRule>
  </conditionalFormatting>
  <conditionalFormatting sqref="G158:G161">
    <cfRule type="colorScale" priority="767">
      <colorScale>
        <cfvo type="min"/>
        <cfvo type="max"/>
        <color rgb="FFFCFCFF"/>
        <color rgb="FFF8696B"/>
      </colorScale>
    </cfRule>
  </conditionalFormatting>
  <conditionalFormatting sqref="K158:K161">
    <cfRule type="colorScale" priority="766">
      <colorScale>
        <cfvo type="min"/>
        <cfvo type="max"/>
        <color rgb="FFFCFCFF"/>
        <color rgb="FFF8696B"/>
      </colorScale>
    </cfRule>
  </conditionalFormatting>
  <conditionalFormatting sqref="N158:N161">
    <cfRule type="colorScale" priority="765">
      <colorScale>
        <cfvo type="min"/>
        <cfvo type="max"/>
        <color rgb="FFFCFCFF"/>
        <color rgb="FFF8696B"/>
      </colorScale>
    </cfRule>
  </conditionalFormatting>
  <conditionalFormatting sqref="O158:O161">
    <cfRule type="colorScale" priority="764">
      <colorScale>
        <cfvo type="min"/>
        <cfvo type="max"/>
        <color rgb="FFFCFCFF"/>
        <color rgb="FFF8696B"/>
      </colorScale>
    </cfRule>
  </conditionalFormatting>
  <conditionalFormatting sqref="R158:R161">
    <cfRule type="colorScale" priority="763">
      <colorScale>
        <cfvo type="min"/>
        <cfvo type="max"/>
        <color rgb="FFFCFCFF"/>
        <color rgb="FFF8696B"/>
      </colorScale>
    </cfRule>
  </conditionalFormatting>
  <conditionalFormatting sqref="S158:S161">
    <cfRule type="colorScale" priority="762">
      <colorScale>
        <cfvo type="min"/>
        <cfvo type="max"/>
        <color rgb="FFFCFCFF"/>
        <color rgb="FFF8696B"/>
      </colorScale>
    </cfRule>
  </conditionalFormatting>
  <conditionalFormatting sqref="F166:F169">
    <cfRule type="colorScale" priority="761">
      <colorScale>
        <cfvo type="min"/>
        <cfvo type="max"/>
        <color rgb="FFFCFCFF"/>
        <color rgb="FFF8696B"/>
      </colorScale>
    </cfRule>
  </conditionalFormatting>
  <conditionalFormatting sqref="G166:G169">
    <cfRule type="colorScale" priority="760">
      <colorScale>
        <cfvo type="min"/>
        <cfvo type="max"/>
        <color rgb="FFFCFCFF"/>
        <color rgb="FFF8696B"/>
      </colorScale>
    </cfRule>
  </conditionalFormatting>
  <conditionalFormatting sqref="H166:H169">
    <cfRule type="colorScale" priority="759">
      <colorScale>
        <cfvo type="min"/>
        <cfvo type="max"/>
        <color rgb="FFFCFCFF"/>
        <color rgb="FFF8696B"/>
      </colorScale>
    </cfRule>
  </conditionalFormatting>
  <conditionalFormatting sqref="J166:J169">
    <cfRule type="colorScale" priority="758">
      <colorScale>
        <cfvo type="min"/>
        <cfvo type="max"/>
        <color rgb="FFFCFCFF"/>
        <color rgb="FFF8696B"/>
      </colorScale>
    </cfRule>
  </conditionalFormatting>
  <conditionalFormatting sqref="K166:K169">
    <cfRule type="colorScale" priority="757">
      <colorScale>
        <cfvo type="min"/>
        <cfvo type="max"/>
        <color rgb="FFFCFCFF"/>
        <color rgb="FFF8696B"/>
      </colorScale>
    </cfRule>
  </conditionalFormatting>
  <conditionalFormatting sqref="L166:L169">
    <cfRule type="colorScale" priority="756">
      <colorScale>
        <cfvo type="min"/>
        <cfvo type="max"/>
        <color rgb="FFFCFCFF"/>
        <color rgb="FFF8696B"/>
      </colorScale>
    </cfRule>
  </conditionalFormatting>
  <conditionalFormatting sqref="N166:N169">
    <cfRule type="colorScale" priority="755">
      <colorScale>
        <cfvo type="min"/>
        <cfvo type="max"/>
        <color rgb="FFFCFCFF"/>
        <color rgb="FFF8696B"/>
      </colorScale>
    </cfRule>
  </conditionalFormatting>
  <conditionalFormatting sqref="O166:O169">
    <cfRule type="colorScale" priority="754">
      <colorScale>
        <cfvo type="min"/>
        <cfvo type="max"/>
        <color rgb="FFFCFCFF"/>
        <color rgb="FFF8696B"/>
      </colorScale>
    </cfRule>
  </conditionalFormatting>
  <conditionalFormatting sqref="P166:P169">
    <cfRule type="colorScale" priority="753">
      <colorScale>
        <cfvo type="min"/>
        <cfvo type="max"/>
        <color rgb="FFFCFCFF"/>
        <color rgb="FFF8696B"/>
      </colorScale>
    </cfRule>
  </conditionalFormatting>
  <conditionalFormatting sqref="R166:R169">
    <cfRule type="colorScale" priority="752">
      <colorScale>
        <cfvo type="min"/>
        <cfvo type="max"/>
        <color rgb="FFFCFCFF"/>
        <color rgb="FFF8696B"/>
      </colorScale>
    </cfRule>
  </conditionalFormatting>
  <conditionalFormatting sqref="S166:S169">
    <cfRule type="colorScale" priority="751">
      <colorScale>
        <cfvo type="min"/>
        <cfvo type="max"/>
        <color rgb="FFFCFCFF"/>
        <color rgb="FFF8696B"/>
      </colorScale>
    </cfRule>
  </conditionalFormatting>
  <conditionalFormatting sqref="T166:U169">
    <cfRule type="colorScale" priority="750">
      <colorScale>
        <cfvo type="min"/>
        <cfvo type="max"/>
        <color rgb="FFFCFCFF"/>
        <color rgb="FFF8696B"/>
      </colorScale>
    </cfRule>
  </conditionalFormatting>
  <conditionalFormatting sqref="N170:N173">
    <cfRule type="colorScale" priority="749">
      <colorScale>
        <cfvo type="min"/>
        <cfvo type="max"/>
        <color rgb="FFFCFCFF"/>
        <color rgb="FFF8696B"/>
      </colorScale>
    </cfRule>
  </conditionalFormatting>
  <conditionalFormatting sqref="R170:R173">
    <cfRule type="colorScale" priority="748">
      <colorScale>
        <cfvo type="min"/>
        <cfvo type="max"/>
        <color rgb="FFFCFCFF"/>
        <color rgb="FFF8696B"/>
      </colorScale>
    </cfRule>
  </conditionalFormatting>
  <conditionalFormatting sqref="O174:O177">
    <cfRule type="colorScale" priority="747">
      <colorScale>
        <cfvo type="min"/>
        <cfvo type="max"/>
        <color rgb="FFFCFCFF"/>
        <color rgb="FFF8696B"/>
      </colorScale>
    </cfRule>
  </conditionalFormatting>
  <conditionalFormatting sqref="S174:S177">
    <cfRule type="colorScale" priority="746">
      <colorScale>
        <cfvo type="min"/>
        <cfvo type="max"/>
        <color rgb="FFFCFCFF"/>
        <color rgb="FFF8696B"/>
      </colorScale>
    </cfRule>
  </conditionalFormatting>
  <conditionalFormatting sqref="F178:F181">
    <cfRule type="colorScale" priority="745">
      <colorScale>
        <cfvo type="min"/>
        <cfvo type="max"/>
        <color rgb="FFFCFCFF"/>
        <color rgb="FFF8696B"/>
      </colorScale>
    </cfRule>
  </conditionalFormatting>
  <conditionalFormatting sqref="G178:G181">
    <cfRule type="colorScale" priority="744">
      <colorScale>
        <cfvo type="min"/>
        <cfvo type="max"/>
        <color rgb="FFFCFCFF"/>
        <color rgb="FFF8696B"/>
      </colorScale>
    </cfRule>
  </conditionalFormatting>
  <conditionalFormatting sqref="H178:H181">
    <cfRule type="colorScale" priority="743">
      <colorScale>
        <cfvo type="min"/>
        <cfvo type="max"/>
        <color rgb="FFFCFCFF"/>
        <color rgb="FFF8696B"/>
      </colorScale>
    </cfRule>
  </conditionalFormatting>
  <conditionalFormatting sqref="J178:J181">
    <cfRule type="colorScale" priority="742">
      <colorScale>
        <cfvo type="min"/>
        <cfvo type="max"/>
        <color rgb="FFFCFCFF"/>
        <color rgb="FFF8696B"/>
      </colorScale>
    </cfRule>
  </conditionalFormatting>
  <conditionalFormatting sqref="K178:K181">
    <cfRule type="colorScale" priority="741">
      <colorScale>
        <cfvo type="min"/>
        <cfvo type="max"/>
        <color rgb="FFFCFCFF"/>
        <color rgb="FFF8696B"/>
      </colorScale>
    </cfRule>
  </conditionalFormatting>
  <conditionalFormatting sqref="L178:L181">
    <cfRule type="colorScale" priority="740">
      <colorScale>
        <cfvo type="min"/>
        <cfvo type="max"/>
        <color rgb="FFFCFCFF"/>
        <color rgb="FFF8696B"/>
      </colorScale>
    </cfRule>
  </conditionalFormatting>
  <conditionalFormatting sqref="N178:N181">
    <cfRule type="colorScale" priority="739">
      <colorScale>
        <cfvo type="min"/>
        <cfvo type="max"/>
        <color rgb="FFFCFCFF"/>
        <color rgb="FFF8696B"/>
      </colorScale>
    </cfRule>
  </conditionalFormatting>
  <conditionalFormatting sqref="P178:P181">
    <cfRule type="colorScale" priority="738">
      <colorScale>
        <cfvo type="min"/>
        <cfvo type="max"/>
        <color rgb="FFFCFCFF"/>
        <color rgb="FFF8696B"/>
      </colorScale>
    </cfRule>
  </conditionalFormatting>
  <conditionalFormatting sqref="R178:R181">
    <cfRule type="colorScale" priority="737">
      <colorScale>
        <cfvo type="min"/>
        <cfvo type="max"/>
        <color rgb="FFFCFCFF"/>
        <color rgb="FFF8696B"/>
      </colorScale>
    </cfRule>
  </conditionalFormatting>
  <conditionalFormatting sqref="T178:U181">
    <cfRule type="colorScale" priority="736">
      <colorScale>
        <cfvo type="min"/>
        <cfvo type="max"/>
        <color rgb="FFFCFCFF"/>
        <color rgb="FFF8696B"/>
      </colorScale>
    </cfRule>
  </conditionalFormatting>
  <conditionalFormatting sqref="H158">
    <cfRule type="colorScale" priority="735">
      <colorScale>
        <cfvo type="min"/>
        <cfvo type="max"/>
        <color rgb="FFFCFCFF"/>
        <color rgb="FFF8696B"/>
      </colorScale>
    </cfRule>
  </conditionalFormatting>
  <conditionalFormatting sqref="P158">
    <cfRule type="colorScale" priority="734">
      <colorScale>
        <cfvo type="min"/>
        <cfvo type="max"/>
        <color rgb="FFFCFCFF"/>
        <color rgb="FFF8696B"/>
      </colorScale>
    </cfRule>
  </conditionalFormatting>
  <conditionalFormatting sqref="U158">
    <cfRule type="colorScale" priority="733">
      <colorScale>
        <cfvo type="min"/>
        <cfvo type="max"/>
        <color rgb="FFFCFCFF"/>
        <color rgb="FFF8696B"/>
      </colorScale>
    </cfRule>
  </conditionalFormatting>
  <conditionalFormatting sqref="F162">
    <cfRule type="colorScale" priority="732">
      <colorScale>
        <cfvo type="min"/>
        <cfvo type="max"/>
        <color rgb="FFFCFCFF"/>
        <color rgb="FFF8696B"/>
      </colorScale>
    </cfRule>
  </conditionalFormatting>
  <conditionalFormatting sqref="H162">
    <cfRule type="colorScale" priority="731">
      <colorScale>
        <cfvo type="min"/>
        <cfvo type="max"/>
        <color rgb="FFFCFCFF"/>
        <color rgb="FFF8696B"/>
      </colorScale>
    </cfRule>
  </conditionalFormatting>
  <conditionalFormatting sqref="G162">
    <cfRule type="colorScale" priority="730">
      <colorScale>
        <cfvo type="min"/>
        <cfvo type="max"/>
        <color rgb="FFFCFCFF"/>
        <color rgb="FFF8696B"/>
      </colorScale>
    </cfRule>
  </conditionalFormatting>
  <conditionalFormatting sqref="O162">
    <cfRule type="colorScale" priority="729">
      <colorScale>
        <cfvo type="min"/>
        <cfvo type="max"/>
        <color rgb="FFFCFCFF"/>
        <color rgb="FFF8696B"/>
      </colorScale>
    </cfRule>
  </conditionalFormatting>
  <conditionalFormatting sqref="P162">
    <cfRule type="colorScale" priority="728">
      <colorScale>
        <cfvo type="min"/>
        <cfvo type="max"/>
        <color rgb="FFFCFCFF"/>
        <color rgb="FFF8696B"/>
      </colorScale>
    </cfRule>
  </conditionalFormatting>
  <conditionalFormatting sqref="U162">
    <cfRule type="colorScale" priority="727">
      <colorScale>
        <cfvo type="min"/>
        <cfvo type="max"/>
        <color rgb="FFFCFCFF"/>
        <color rgb="FFF8696B"/>
      </colorScale>
    </cfRule>
  </conditionalFormatting>
  <conditionalFormatting sqref="F170">
    <cfRule type="colorScale" priority="726">
      <colorScale>
        <cfvo type="min"/>
        <cfvo type="max"/>
        <color rgb="FFFCFCFF"/>
        <color rgb="FFF8696B"/>
      </colorScale>
    </cfRule>
  </conditionalFormatting>
  <conditionalFormatting sqref="G170">
    <cfRule type="colorScale" priority="725">
      <colorScale>
        <cfvo type="min"/>
        <cfvo type="max"/>
        <color rgb="FFFCFCFF"/>
        <color rgb="FFF8696B"/>
      </colorScale>
    </cfRule>
  </conditionalFormatting>
  <conditionalFormatting sqref="H170">
    <cfRule type="colorScale" priority="724">
      <colorScale>
        <cfvo type="min"/>
        <cfvo type="max"/>
        <color rgb="FFFCFCFF"/>
        <color rgb="FFF8696B"/>
      </colorScale>
    </cfRule>
  </conditionalFormatting>
  <conditionalFormatting sqref="F174">
    <cfRule type="colorScale" priority="723">
      <colorScale>
        <cfvo type="min"/>
        <cfvo type="max"/>
        <color rgb="FFFCFCFF"/>
        <color rgb="FFF8696B"/>
      </colorScale>
    </cfRule>
  </conditionalFormatting>
  <conditionalFormatting sqref="G174">
    <cfRule type="colorScale" priority="722">
      <colorScale>
        <cfvo type="min"/>
        <cfvo type="max"/>
        <color rgb="FFFCFCFF"/>
        <color rgb="FFF8696B"/>
      </colorScale>
    </cfRule>
  </conditionalFormatting>
  <conditionalFormatting sqref="H174">
    <cfRule type="colorScale" priority="721">
      <colorScale>
        <cfvo type="min"/>
        <cfvo type="max"/>
        <color rgb="FFFCFCFF"/>
        <color rgb="FFF8696B"/>
      </colorScale>
    </cfRule>
  </conditionalFormatting>
  <conditionalFormatting sqref="N174">
    <cfRule type="colorScale" priority="720">
      <colorScale>
        <cfvo type="min"/>
        <cfvo type="max"/>
        <color rgb="FFFCFCFF"/>
        <color rgb="FFF8696B"/>
      </colorScale>
    </cfRule>
  </conditionalFormatting>
  <conditionalFormatting sqref="P174">
    <cfRule type="colorScale" priority="719">
      <colorScale>
        <cfvo type="min"/>
        <cfvo type="max"/>
        <color rgb="FFFCFCFF"/>
        <color rgb="FFF8696B"/>
      </colorScale>
    </cfRule>
  </conditionalFormatting>
  <conditionalFormatting sqref="O170">
    <cfRule type="colorScale" priority="718">
      <colorScale>
        <cfvo type="min"/>
        <cfvo type="max"/>
        <color rgb="FFFCFCFF"/>
        <color rgb="FFF8696B"/>
      </colorScale>
    </cfRule>
  </conditionalFormatting>
  <conditionalFormatting sqref="P170">
    <cfRule type="colorScale" priority="717">
      <colorScale>
        <cfvo type="min"/>
        <cfvo type="max"/>
        <color rgb="FFFCFCFF"/>
        <color rgb="FFF8696B"/>
      </colorScale>
    </cfRule>
  </conditionalFormatting>
  <conditionalFormatting sqref="U170">
    <cfRule type="colorScale" priority="716">
      <colorScale>
        <cfvo type="min"/>
        <cfvo type="max"/>
        <color rgb="FFFCFCFF"/>
        <color rgb="FFF8696B"/>
      </colorScale>
    </cfRule>
  </conditionalFormatting>
  <conditionalFormatting sqref="U174">
    <cfRule type="colorScale" priority="715">
      <colorScale>
        <cfvo type="min"/>
        <cfvo type="max"/>
        <color rgb="FFFCFCFF"/>
        <color rgb="FFF8696B"/>
      </colorScale>
    </cfRule>
  </conditionalFormatting>
  <conditionalFormatting sqref="N162:N165">
    <cfRule type="colorScale" priority="714">
      <colorScale>
        <cfvo type="min"/>
        <cfvo type="max"/>
        <color rgb="FFFCFCFF"/>
        <color rgb="FFF8696B"/>
      </colorScale>
    </cfRule>
  </conditionalFormatting>
  <conditionalFormatting sqref="R162:R165">
    <cfRule type="colorScale" priority="713">
      <colorScale>
        <cfvo type="min"/>
        <cfvo type="max"/>
        <color rgb="FFFCFCFF"/>
        <color rgb="FFF8696B"/>
      </colorScale>
    </cfRule>
  </conditionalFormatting>
  <conditionalFormatting sqref="F192:F195">
    <cfRule type="colorScale" priority="712">
      <colorScale>
        <cfvo type="min"/>
        <cfvo type="max"/>
        <color rgb="FFFCFCFF"/>
        <color rgb="FFF8696B"/>
      </colorScale>
    </cfRule>
  </conditionalFormatting>
  <conditionalFormatting sqref="G192:G195">
    <cfRule type="colorScale" priority="711">
      <colorScale>
        <cfvo type="min"/>
        <cfvo type="max"/>
        <color rgb="FFFCFCFF"/>
        <color rgb="FFF8696B"/>
      </colorScale>
    </cfRule>
  </conditionalFormatting>
  <conditionalFormatting sqref="H192:H195">
    <cfRule type="colorScale" priority="710">
      <colorScale>
        <cfvo type="min"/>
        <cfvo type="max"/>
        <color rgb="FFFCFCFF"/>
        <color rgb="FFF8696B"/>
      </colorScale>
    </cfRule>
  </conditionalFormatting>
  <conditionalFormatting sqref="J192:J195">
    <cfRule type="colorScale" priority="709">
      <colorScale>
        <cfvo type="min"/>
        <cfvo type="max"/>
        <color rgb="FFFCFCFF"/>
        <color rgb="FFF8696B"/>
      </colorScale>
    </cfRule>
  </conditionalFormatting>
  <conditionalFormatting sqref="K192:K195">
    <cfRule type="colorScale" priority="708">
      <colorScale>
        <cfvo type="min"/>
        <cfvo type="max"/>
        <color rgb="FFFCFCFF"/>
        <color rgb="FFF8696B"/>
      </colorScale>
    </cfRule>
  </conditionalFormatting>
  <conditionalFormatting sqref="L192:L195">
    <cfRule type="colorScale" priority="707">
      <colorScale>
        <cfvo type="min"/>
        <cfvo type="max"/>
        <color rgb="FFFCFCFF"/>
        <color rgb="FFF8696B"/>
      </colorScale>
    </cfRule>
  </conditionalFormatting>
  <conditionalFormatting sqref="F188:F191">
    <cfRule type="colorScale" priority="1077">
      <colorScale>
        <cfvo type="min"/>
        <cfvo type="max"/>
        <color rgb="FFFCFCFF"/>
        <color rgb="FFF8696B"/>
      </colorScale>
    </cfRule>
  </conditionalFormatting>
  <conditionalFormatting sqref="G188:G191">
    <cfRule type="colorScale" priority="1078">
      <colorScale>
        <cfvo type="min"/>
        <cfvo type="max"/>
        <color rgb="FFFCFCFF"/>
        <color rgb="FFF8696B"/>
      </colorScale>
    </cfRule>
  </conditionalFormatting>
  <conditionalFormatting sqref="H188:H191">
    <cfRule type="colorScale" priority="1079">
      <colorScale>
        <cfvo type="min"/>
        <cfvo type="max"/>
        <color rgb="FFFCFCFF"/>
        <color rgb="FFF8696B"/>
      </colorScale>
    </cfRule>
  </conditionalFormatting>
  <conditionalFormatting sqref="J188:J191">
    <cfRule type="colorScale" priority="1080">
      <colorScale>
        <cfvo type="min"/>
        <cfvo type="max"/>
        <color rgb="FFFCFCFF"/>
        <color rgb="FFF8696B"/>
      </colorScale>
    </cfRule>
  </conditionalFormatting>
  <conditionalFormatting sqref="K188:K191">
    <cfRule type="colorScale" priority="1081">
      <colorScale>
        <cfvo type="min"/>
        <cfvo type="max"/>
        <color rgb="FFFCFCFF"/>
        <color rgb="FFF8696B"/>
      </colorScale>
    </cfRule>
  </conditionalFormatting>
  <conditionalFormatting sqref="L188:L191">
    <cfRule type="colorScale" priority="1082">
      <colorScale>
        <cfvo type="min"/>
        <cfvo type="max"/>
        <color rgb="FFFCFCFF"/>
        <color rgb="FFF8696B"/>
      </colorScale>
    </cfRule>
  </conditionalFormatting>
  <conditionalFormatting sqref="G196:G199">
    <cfRule type="colorScale" priority="706">
      <colorScale>
        <cfvo type="min"/>
        <cfvo type="max"/>
        <color rgb="FFFCFCFF"/>
        <color rgb="FFF8696B"/>
      </colorScale>
    </cfRule>
  </conditionalFormatting>
  <conditionalFormatting sqref="K196:K199">
    <cfRule type="colorScale" priority="705">
      <colorScale>
        <cfvo type="min"/>
        <cfvo type="max"/>
        <color rgb="FFFCFCFF"/>
        <color rgb="FFF8696B"/>
      </colorScale>
    </cfRule>
  </conditionalFormatting>
  <conditionalFormatting sqref="F200:F203">
    <cfRule type="colorScale" priority="704">
      <colorScale>
        <cfvo type="min"/>
        <cfvo type="max"/>
        <color rgb="FFFCFCFF"/>
        <color rgb="FFF8696B"/>
      </colorScale>
    </cfRule>
  </conditionalFormatting>
  <conditionalFormatting sqref="J200:J203">
    <cfRule type="colorScale" priority="703">
      <colorScale>
        <cfvo type="min"/>
        <cfvo type="max"/>
        <color rgb="FFFCFCFF"/>
        <color rgb="FFF8696B"/>
      </colorScale>
    </cfRule>
  </conditionalFormatting>
  <conditionalFormatting sqref="H204:H207">
    <cfRule type="colorScale" priority="702">
      <colorScale>
        <cfvo type="min"/>
        <cfvo type="max"/>
        <color rgb="FFFCFCFF"/>
        <color rgb="FFF8696B"/>
      </colorScale>
    </cfRule>
  </conditionalFormatting>
  <conditionalFormatting sqref="L204:L207">
    <cfRule type="colorScale" priority="701">
      <colorScale>
        <cfvo type="min"/>
        <cfvo type="max"/>
        <color rgb="FFFCFCFF"/>
        <color rgb="FFF8696B"/>
      </colorScale>
    </cfRule>
  </conditionalFormatting>
  <conditionalFormatting sqref="N188:N191">
    <cfRule type="colorScale" priority="700">
      <colorScale>
        <cfvo type="min"/>
        <cfvo type="max"/>
        <color rgb="FFFCFCFF"/>
        <color rgb="FFF8696B"/>
      </colorScale>
    </cfRule>
  </conditionalFormatting>
  <conditionalFormatting sqref="O188:O191">
    <cfRule type="colorScale" priority="699">
      <colorScale>
        <cfvo type="min"/>
        <cfvo type="max"/>
        <color rgb="FFFCFCFF"/>
        <color rgb="FFF8696B"/>
      </colorScale>
    </cfRule>
  </conditionalFormatting>
  <conditionalFormatting sqref="P188:P191">
    <cfRule type="colorScale" priority="698">
      <colorScale>
        <cfvo type="min"/>
        <cfvo type="max"/>
        <color rgb="FFFCFCFF"/>
        <color rgb="FFF8696B"/>
      </colorScale>
    </cfRule>
  </conditionalFormatting>
  <conditionalFormatting sqref="R188:R191">
    <cfRule type="colorScale" priority="697">
      <colorScale>
        <cfvo type="min"/>
        <cfvo type="max"/>
        <color rgb="FFFCFCFF"/>
        <color rgb="FFF8696B"/>
      </colorScale>
    </cfRule>
  </conditionalFormatting>
  <conditionalFormatting sqref="S188:S191">
    <cfRule type="colorScale" priority="696">
      <colorScale>
        <cfvo type="min"/>
        <cfvo type="max"/>
        <color rgb="FFFCFCFF"/>
        <color rgb="FFF8696B"/>
      </colorScale>
    </cfRule>
  </conditionalFormatting>
  <conditionalFormatting sqref="T188:U191">
    <cfRule type="colorScale" priority="695">
      <colorScale>
        <cfvo type="min"/>
        <cfvo type="max"/>
        <color rgb="FFFCFCFF"/>
        <color rgb="FFF8696B"/>
      </colorScale>
    </cfRule>
  </conditionalFormatting>
  <conditionalFormatting sqref="N192:N195">
    <cfRule type="colorScale" priority="694">
      <colorScale>
        <cfvo type="min"/>
        <cfvo type="max"/>
        <color rgb="FFFCFCFF"/>
        <color rgb="FFF8696B"/>
      </colorScale>
    </cfRule>
  </conditionalFormatting>
  <conditionalFormatting sqref="O192:O195">
    <cfRule type="colorScale" priority="693">
      <colorScale>
        <cfvo type="min"/>
        <cfvo type="max"/>
        <color rgb="FFFCFCFF"/>
        <color rgb="FFF8696B"/>
      </colorScale>
    </cfRule>
  </conditionalFormatting>
  <conditionalFormatting sqref="P192:P195">
    <cfRule type="colorScale" priority="692">
      <colorScale>
        <cfvo type="min"/>
        <cfvo type="max"/>
        <color rgb="FFFCFCFF"/>
        <color rgb="FFF8696B"/>
      </colorScale>
    </cfRule>
  </conditionalFormatting>
  <conditionalFormatting sqref="R192:R195">
    <cfRule type="colorScale" priority="691">
      <colorScale>
        <cfvo type="min"/>
        <cfvo type="max"/>
        <color rgb="FFFCFCFF"/>
        <color rgb="FFF8696B"/>
      </colorScale>
    </cfRule>
  </conditionalFormatting>
  <conditionalFormatting sqref="S192:S195">
    <cfRule type="colorScale" priority="690">
      <colorScale>
        <cfvo type="min"/>
        <cfvo type="max"/>
        <color rgb="FFFCFCFF"/>
        <color rgb="FFF8696B"/>
      </colorScale>
    </cfRule>
  </conditionalFormatting>
  <conditionalFormatting sqref="T192:U195">
    <cfRule type="colorScale" priority="689">
      <colorScale>
        <cfvo type="min"/>
        <cfvo type="max"/>
        <color rgb="FFFCFCFF"/>
        <color rgb="FFF8696B"/>
      </colorScale>
    </cfRule>
  </conditionalFormatting>
  <conditionalFormatting sqref="N196:N199">
    <cfRule type="colorScale" priority="688">
      <colorScale>
        <cfvo type="min"/>
        <cfvo type="max"/>
        <color rgb="FFFCFCFF"/>
        <color rgb="FFF8696B"/>
      </colorScale>
    </cfRule>
  </conditionalFormatting>
  <conditionalFormatting sqref="P196:P199">
    <cfRule type="colorScale" priority="687">
      <colorScale>
        <cfvo type="min"/>
        <cfvo type="max"/>
        <color rgb="FFFCFCFF"/>
        <color rgb="FFF8696B"/>
      </colorScale>
    </cfRule>
  </conditionalFormatting>
  <conditionalFormatting sqref="R196:R199">
    <cfRule type="colorScale" priority="686">
      <colorScale>
        <cfvo type="min"/>
        <cfvo type="max"/>
        <color rgb="FFFCFCFF"/>
        <color rgb="FFF8696B"/>
      </colorScale>
    </cfRule>
  </conditionalFormatting>
  <conditionalFormatting sqref="T196:U199">
    <cfRule type="colorScale" priority="685">
      <colorScale>
        <cfvo type="min"/>
        <cfvo type="max"/>
        <color rgb="FFFCFCFF"/>
        <color rgb="FFF8696B"/>
      </colorScale>
    </cfRule>
  </conditionalFormatting>
  <conditionalFormatting sqref="O200:O203">
    <cfRule type="colorScale" priority="684">
      <colorScale>
        <cfvo type="min"/>
        <cfvo type="max"/>
        <color rgb="FFFCFCFF"/>
        <color rgb="FFF8696B"/>
      </colorScale>
    </cfRule>
  </conditionalFormatting>
  <conditionalFormatting sqref="P200:P203">
    <cfRule type="colorScale" priority="683">
      <colorScale>
        <cfvo type="min"/>
        <cfvo type="max"/>
        <color rgb="FFFCFCFF"/>
        <color rgb="FFF8696B"/>
      </colorScale>
    </cfRule>
  </conditionalFormatting>
  <conditionalFormatting sqref="S200:S203">
    <cfRule type="colorScale" priority="682">
      <colorScale>
        <cfvo type="min"/>
        <cfvo type="max"/>
        <color rgb="FFFCFCFF"/>
        <color rgb="FFF8696B"/>
      </colorScale>
    </cfRule>
  </conditionalFormatting>
  <conditionalFormatting sqref="T200:U203">
    <cfRule type="colorScale" priority="681">
      <colorScale>
        <cfvo type="min"/>
        <cfvo type="max"/>
        <color rgb="FFFCFCFF"/>
        <color rgb="FFF8696B"/>
      </colorScale>
    </cfRule>
  </conditionalFormatting>
  <conditionalFormatting sqref="N204:N207">
    <cfRule type="colorScale" priority="680">
      <colorScale>
        <cfvo type="min"/>
        <cfvo type="max"/>
        <color rgb="FFFCFCFF"/>
        <color rgb="FFF8696B"/>
      </colorScale>
    </cfRule>
  </conditionalFormatting>
  <conditionalFormatting sqref="O204:O207">
    <cfRule type="colorScale" priority="679">
      <colorScale>
        <cfvo type="min"/>
        <cfvo type="max"/>
        <color rgb="FFFCFCFF"/>
        <color rgb="FFF8696B"/>
      </colorScale>
    </cfRule>
  </conditionalFormatting>
  <conditionalFormatting sqref="R204:R207">
    <cfRule type="colorScale" priority="678">
      <colorScale>
        <cfvo type="min"/>
        <cfvo type="max"/>
        <color rgb="FFFCFCFF"/>
        <color rgb="FFF8696B"/>
      </colorScale>
    </cfRule>
  </conditionalFormatting>
  <conditionalFormatting sqref="S204:S207">
    <cfRule type="colorScale" priority="677">
      <colorScale>
        <cfvo type="min"/>
        <cfvo type="max"/>
        <color rgb="FFFCFCFF"/>
        <color rgb="FFF8696B"/>
      </colorScale>
    </cfRule>
  </conditionalFormatting>
  <conditionalFormatting sqref="F196">
    <cfRule type="colorScale" priority="676">
      <colorScale>
        <cfvo type="min"/>
        <cfvo type="max"/>
        <color rgb="FFFCFCFF"/>
        <color rgb="FFF8696B"/>
      </colorScale>
    </cfRule>
  </conditionalFormatting>
  <conditionalFormatting sqref="H196">
    <cfRule type="colorScale" priority="675">
      <colorScale>
        <cfvo type="min"/>
        <cfvo type="max"/>
        <color rgb="FFFCFCFF"/>
        <color rgb="FFF8696B"/>
      </colorScale>
    </cfRule>
  </conditionalFormatting>
  <conditionalFormatting sqref="G200">
    <cfRule type="colorScale" priority="674">
      <colorScale>
        <cfvo type="min"/>
        <cfvo type="max"/>
        <color rgb="FFFCFCFF"/>
        <color rgb="FFF8696B"/>
      </colorScale>
    </cfRule>
  </conditionalFormatting>
  <conditionalFormatting sqref="H200">
    <cfRule type="colorScale" priority="673">
      <colorScale>
        <cfvo type="min"/>
        <cfvo type="max"/>
        <color rgb="FFFCFCFF"/>
        <color rgb="FFF8696B"/>
      </colorScale>
    </cfRule>
  </conditionalFormatting>
  <conditionalFormatting sqref="F204">
    <cfRule type="colorScale" priority="672">
      <colorScale>
        <cfvo type="min"/>
        <cfvo type="max"/>
        <color rgb="FFFCFCFF"/>
        <color rgb="FFF8696B"/>
      </colorScale>
    </cfRule>
  </conditionalFormatting>
  <conditionalFormatting sqref="G204">
    <cfRule type="colorScale" priority="671">
      <colorScale>
        <cfvo type="min"/>
        <cfvo type="max"/>
        <color rgb="FFFCFCFF"/>
        <color rgb="FFF8696B"/>
      </colorScale>
    </cfRule>
  </conditionalFormatting>
  <conditionalFormatting sqref="F213">
    <cfRule type="colorScale" priority="670">
      <colorScale>
        <cfvo type="min"/>
        <cfvo type="max"/>
        <color rgb="FFFCFCFF"/>
        <color rgb="FFF8696B"/>
      </colorScale>
    </cfRule>
  </conditionalFormatting>
  <conditionalFormatting sqref="G213">
    <cfRule type="colorScale" priority="669">
      <colorScale>
        <cfvo type="min"/>
        <cfvo type="max"/>
        <color rgb="FFFCFCFF"/>
        <color rgb="FFF8696B"/>
      </colorScale>
    </cfRule>
  </conditionalFormatting>
  <conditionalFormatting sqref="O213">
    <cfRule type="colorScale" priority="668">
      <colorScale>
        <cfvo type="min"/>
        <cfvo type="max"/>
        <color rgb="FFFCFCFF"/>
        <color rgb="FFF8696B"/>
      </colorScale>
    </cfRule>
  </conditionalFormatting>
  <conditionalFormatting sqref="P213">
    <cfRule type="colorScale" priority="667">
      <colorScale>
        <cfvo type="min"/>
        <cfvo type="max"/>
        <color rgb="FFFCFCFF"/>
        <color rgb="FFF8696B"/>
      </colorScale>
    </cfRule>
  </conditionalFormatting>
  <conditionalFormatting sqref="U213">
    <cfRule type="colorScale" priority="666">
      <colorScale>
        <cfvo type="min"/>
        <cfvo type="max"/>
        <color rgb="FFFCFCFF"/>
        <color rgb="FFF8696B"/>
      </colorScale>
    </cfRule>
  </conditionalFormatting>
  <conditionalFormatting sqref="U217">
    <cfRule type="colorScale" priority="665">
      <colorScale>
        <cfvo type="min"/>
        <cfvo type="max"/>
        <color rgb="FFFCFCFF"/>
        <color rgb="FFF8696B"/>
      </colorScale>
    </cfRule>
  </conditionalFormatting>
  <conditionalFormatting sqref="O217">
    <cfRule type="colorScale" priority="664">
      <colorScale>
        <cfvo type="min"/>
        <cfvo type="max"/>
        <color rgb="FFFCFCFF"/>
        <color rgb="FFF8696B"/>
      </colorScale>
    </cfRule>
  </conditionalFormatting>
  <conditionalFormatting sqref="P217">
    <cfRule type="colorScale" priority="663">
      <colorScale>
        <cfvo type="min"/>
        <cfvo type="max"/>
        <color rgb="FFFCFCFF"/>
        <color rgb="FFF8696B"/>
      </colorScale>
    </cfRule>
  </conditionalFormatting>
  <conditionalFormatting sqref="K217">
    <cfRule type="colorScale" priority="662">
      <colorScale>
        <cfvo type="min"/>
        <cfvo type="max"/>
        <color rgb="FFFCFCFF"/>
        <color rgb="FFF8696B"/>
      </colorScale>
    </cfRule>
  </conditionalFormatting>
  <conditionalFormatting sqref="N221">
    <cfRule type="colorScale" priority="661">
      <colorScale>
        <cfvo type="min"/>
        <cfvo type="max"/>
        <color rgb="FFFCFCFF"/>
        <color rgb="FFF8696B"/>
      </colorScale>
    </cfRule>
  </conditionalFormatting>
  <conditionalFormatting sqref="O221">
    <cfRule type="colorScale" priority="660">
      <colorScale>
        <cfvo type="min"/>
        <cfvo type="max"/>
        <color rgb="FFFCFCFF"/>
        <color rgb="FFF8696B"/>
      </colorScale>
    </cfRule>
  </conditionalFormatting>
  <conditionalFormatting sqref="H217">
    <cfRule type="colorScale" priority="659">
      <colorScale>
        <cfvo type="min"/>
        <cfvo type="max"/>
        <color rgb="FFFCFCFF"/>
        <color rgb="FFF8696B"/>
      </colorScale>
    </cfRule>
  </conditionalFormatting>
  <conditionalFormatting sqref="H221">
    <cfRule type="colorScale" priority="658">
      <colorScale>
        <cfvo type="min"/>
        <cfvo type="max"/>
        <color rgb="FFFCFCFF"/>
        <color rgb="FFF8696B"/>
      </colorScale>
    </cfRule>
  </conditionalFormatting>
  <conditionalFormatting sqref="F217">
    <cfRule type="colorScale" priority="657">
      <colorScale>
        <cfvo type="min"/>
        <cfvo type="max"/>
        <color rgb="FFFCFCFF"/>
        <color rgb="FFF8696B"/>
      </colorScale>
    </cfRule>
  </conditionalFormatting>
  <conditionalFormatting sqref="F221">
    <cfRule type="colorScale" priority="656">
      <colorScale>
        <cfvo type="min"/>
        <cfvo type="max"/>
        <color rgb="FFFCFCFF"/>
        <color rgb="FFF8696B"/>
      </colorScale>
    </cfRule>
  </conditionalFormatting>
  <conditionalFormatting sqref="H213:H216">
    <cfRule type="colorScale" priority="655">
      <colorScale>
        <cfvo type="min"/>
        <cfvo type="max"/>
        <color rgb="FFFCFCFF"/>
        <color rgb="FFF8696B"/>
      </colorScale>
    </cfRule>
  </conditionalFormatting>
  <conditionalFormatting sqref="L213:L216">
    <cfRule type="colorScale" priority="654">
      <colorScale>
        <cfvo type="min"/>
        <cfvo type="max"/>
        <color rgb="FFFCFCFF"/>
        <color rgb="FFF8696B"/>
      </colorScale>
    </cfRule>
  </conditionalFormatting>
  <conditionalFormatting sqref="N213:N216">
    <cfRule type="colorScale" priority="653">
      <colorScale>
        <cfvo type="min"/>
        <cfvo type="max"/>
        <color rgb="FFFCFCFF"/>
        <color rgb="FFF8696B"/>
      </colorScale>
    </cfRule>
  </conditionalFormatting>
  <conditionalFormatting sqref="R213:R216">
    <cfRule type="colorScale" priority="652">
      <colorScale>
        <cfvo type="min"/>
        <cfvo type="max"/>
        <color rgb="FFFCFCFF"/>
        <color rgb="FFF8696B"/>
      </colorScale>
    </cfRule>
  </conditionalFormatting>
  <conditionalFormatting sqref="G217:G220">
    <cfRule type="colorScale" priority="651">
      <colorScale>
        <cfvo type="min"/>
        <cfvo type="max"/>
        <color rgb="FFFCFCFF"/>
        <color rgb="FFF8696B"/>
      </colorScale>
    </cfRule>
  </conditionalFormatting>
  <conditionalFormatting sqref="N217:N220">
    <cfRule type="colorScale" priority="650">
      <colorScale>
        <cfvo type="min"/>
        <cfvo type="max"/>
        <color rgb="FFFCFCFF"/>
        <color rgb="FFF8696B"/>
      </colorScale>
    </cfRule>
  </conditionalFormatting>
  <conditionalFormatting sqref="R217:R220">
    <cfRule type="colorScale" priority="649">
      <colorScale>
        <cfvo type="min"/>
        <cfvo type="max"/>
        <color rgb="FFFCFCFF"/>
        <color rgb="FFF8696B"/>
      </colorScale>
    </cfRule>
  </conditionalFormatting>
  <conditionalFormatting sqref="G221:G224">
    <cfRule type="colorScale" priority="648">
      <colorScale>
        <cfvo type="min"/>
        <cfvo type="max"/>
        <color rgb="FFFCFCFF"/>
        <color rgb="FFF8696B"/>
      </colorScale>
    </cfRule>
  </conditionalFormatting>
  <conditionalFormatting sqref="P221:P224">
    <cfRule type="colorScale" priority="647">
      <colorScale>
        <cfvo type="min"/>
        <cfvo type="max"/>
        <color rgb="FFFCFCFF"/>
        <color rgb="FFF8696B"/>
      </colorScale>
    </cfRule>
  </conditionalFormatting>
  <conditionalFormatting sqref="T221:U224">
    <cfRule type="colorScale" priority="646">
      <colorScale>
        <cfvo type="min"/>
        <cfvo type="max"/>
        <color rgb="FFFCFCFF"/>
        <color rgb="FFF8696B"/>
      </colorScale>
    </cfRule>
  </conditionalFormatting>
  <conditionalFormatting sqref="F227">
    <cfRule type="colorScale" priority="645">
      <colorScale>
        <cfvo type="min"/>
        <cfvo type="max"/>
        <color rgb="FFFCFCFF"/>
        <color rgb="FFF8696B"/>
      </colorScale>
    </cfRule>
  </conditionalFormatting>
  <conditionalFormatting sqref="G227">
    <cfRule type="colorScale" priority="644">
      <colorScale>
        <cfvo type="min"/>
        <cfvo type="max"/>
        <color rgb="FFFCFCFF"/>
        <color rgb="FFF8696B"/>
      </colorScale>
    </cfRule>
  </conditionalFormatting>
  <conditionalFormatting sqref="H227">
    <cfRule type="colorScale" priority="643">
      <colorScale>
        <cfvo type="min"/>
        <cfvo type="max"/>
        <color rgb="FFFCFCFF"/>
        <color rgb="FFF8696B"/>
      </colorScale>
    </cfRule>
  </conditionalFormatting>
  <conditionalFormatting sqref="N235">
    <cfRule type="colorScale" priority="642">
      <colorScale>
        <cfvo type="min"/>
        <cfvo type="max"/>
        <color rgb="FFFCFCFF"/>
        <color rgb="FFF8696B"/>
      </colorScale>
    </cfRule>
  </conditionalFormatting>
  <conditionalFormatting sqref="O235">
    <cfRule type="colorScale" priority="641">
      <colorScale>
        <cfvo type="min"/>
        <cfvo type="max"/>
        <color rgb="FFFCFCFF"/>
        <color rgb="FFF8696B"/>
      </colorScale>
    </cfRule>
  </conditionalFormatting>
  <conditionalFormatting sqref="P235">
    <cfRule type="colorScale" priority="640">
      <colorScale>
        <cfvo type="min"/>
        <cfvo type="max"/>
        <color rgb="FFFCFCFF"/>
        <color rgb="FFF8696B"/>
      </colorScale>
    </cfRule>
  </conditionalFormatting>
  <conditionalFormatting sqref="U235">
    <cfRule type="colorScale" priority="639">
      <colorScale>
        <cfvo type="min"/>
        <cfvo type="max"/>
        <color rgb="FFFCFCFF"/>
        <color rgb="FFF8696B"/>
      </colorScale>
    </cfRule>
  </conditionalFormatting>
  <conditionalFormatting sqref="F231">
    <cfRule type="colorScale" priority="638">
      <colorScale>
        <cfvo type="min"/>
        <cfvo type="max"/>
        <color rgb="FFFCFCFF"/>
        <color rgb="FFF8696B"/>
      </colorScale>
    </cfRule>
  </conditionalFormatting>
  <conditionalFormatting sqref="G231">
    <cfRule type="colorScale" priority="637">
      <colorScale>
        <cfvo type="min"/>
        <cfvo type="max"/>
        <color rgb="FFFCFCFF"/>
        <color rgb="FFF8696B"/>
      </colorScale>
    </cfRule>
  </conditionalFormatting>
  <conditionalFormatting sqref="G247">
    <cfRule type="colorScale" priority="636">
      <colorScale>
        <cfvo type="min"/>
        <cfvo type="max"/>
        <color rgb="FFFCFCFF"/>
        <color rgb="FFF8696B"/>
      </colorScale>
    </cfRule>
  </conditionalFormatting>
  <conditionalFormatting sqref="H247">
    <cfRule type="colorScale" priority="635">
      <colorScale>
        <cfvo type="min"/>
        <cfvo type="max"/>
        <color rgb="FFFCFCFF"/>
        <color rgb="FFF8696B"/>
      </colorScale>
    </cfRule>
  </conditionalFormatting>
  <conditionalFormatting sqref="O227">
    <cfRule type="colorScale" priority="634">
      <colorScale>
        <cfvo type="min"/>
        <cfvo type="max"/>
        <color rgb="FFFCFCFF"/>
        <color rgb="FFF8696B"/>
      </colorScale>
    </cfRule>
  </conditionalFormatting>
  <conditionalFormatting sqref="P227">
    <cfRule type="colorScale" priority="633">
      <colorScale>
        <cfvo type="min"/>
        <cfvo type="max"/>
        <color rgb="FFFCFCFF"/>
        <color rgb="FFF8696B"/>
      </colorScale>
    </cfRule>
  </conditionalFormatting>
  <conditionalFormatting sqref="U227">
    <cfRule type="colorScale" priority="632">
      <colorScale>
        <cfvo type="min"/>
        <cfvo type="max"/>
        <color rgb="FFFCFCFF"/>
        <color rgb="FFF8696B"/>
      </colorScale>
    </cfRule>
  </conditionalFormatting>
  <conditionalFormatting sqref="N239">
    <cfRule type="colorScale" priority="631">
      <colorScale>
        <cfvo type="min"/>
        <cfvo type="max"/>
        <color rgb="FFFCFCFF"/>
        <color rgb="FFF8696B"/>
      </colorScale>
    </cfRule>
  </conditionalFormatting>
  <conditionalFormatting sqref="O239">
    <cfRule type="colorScale" priority="630">
      <colorScale>
        <cfvo type="min"/>
        <cfvo type="max"/>
        <color rgb="FFFCFCFF"/>
        <color rgb="FFF8696B"/>
      </colorScale>
    </cfRule>
  </conditionalFormatting>
  <conditionalFormatting sqref="N231">
    <cfRule type="colorScale" priority="629">
      <colorScale>
        <cfvo type="min"/>
        <cfvo type="max"/>
        <color rgb="FFFCFCFF"/>
        <color rgb="FFF8696B"/>
      </colorScale>
    </cfRule>
  </conditionalFormatting>
  <conditionalFormatting sqref="G235">
    <cfRule type="colorScale" priority="628">
      <colorScale>
        <cfvo type="min"/>
        <cfvo type="max"/>
        <color rgb="FFFCFCFF"/>
        <color rgb="FFF8696B"/>
      </colorScale>
    </cfRule>
  </conditionalFormatting>
  <conditionalFormatting sqref="F243">
    <cfRule type="colorScale" priority="627">
      <colorScale>
        <cfvo type="min"/>
        <cfvo type="max"/>
        <color rgb="FFFCFCFF"/>
        <color rgb="FFF8696B"/>
      </colorScale>
    </cfRule>
  </conditionalFormatting>
  <conditionalFormatting sqref="G243">
    <cfRule type="colorScale" priority="626">
      <colorScale>
        <cfvo type="min"/>
        <cfvo type="max"/>
        <color rgb="FFFCFCFF"/>
        <color rgb="FFF8696B"/>
      </colorScale>
    </cfRule>
  </conditionalFormatting>
  <conditionalFormatting sqref="N243">
    <cfRule type="colorScale" priority="625">
      <colorScale>
        <cfvo type="min"/>
        <cfvo type="max"/>
        <color rgb="FFFCFCFF"/>
        <color rgb="FFF8696B"/>
      </colorScale>
    </cfRule>
  </conditionalFormatting>
  <conditionalFormatting sqref="O243">
    <cfRule type="colorScale" priority="624">
      <colorScale>
        <cfvo type="min"/>
        <cfvo type="max"/>
        <color rgb="FFFCFCFF"/>
        <color rgb="FFF8696B"/>
      </colorScale>
    </cfRule>
  </conditionalFormatting>
  <conditionalFormatting sqref="P243">
    <cfRule type="colorScale" priority="623">
      <colorScale>
        <cfvo type="min"/>
        <cfvo type="max"/>
        <color rgb="FFFCFCFF"/>
        <color rgb="FFF8696B"/>
      </colorScale>
    </cfRule>
  </conditionalFormatting>
  <conditionalFormatting sqref="U243">
    <cfRule type="colorScale" priority="622">
      <colorScale>
        <cfvo type="min"/>
        <cfvo type="max"/>
        <color rgb="FFFCFCFF"/>
        <color rgb="FFF8696B"/>
      </colorScale>
    </cfRule>
  </conditionalFormatting>
  <conditionalFormatting sqref="N227:N230">
    <cfRule type="colorScale" priority="621">
      <colorScale>
        <cfvo type="min"/>
        <cfvo type="max"/>
        <color rgb="FFFCFCFF"/>
        <color rgb="FFF8696B"/>
      </colorScale>
    </cfRule>
  </conditionalFormatting>
  <conditionalFormatting sqref="R227:R230">
    <cfRule type="colorScale" priority="620">
      <colorScale>
        <cfvo type="min"/>
        <cfvo type="max"/>
        <color rgb="FFFCFCFF"/>
        <color rgb="FFF8696B"/>
      </colorScale>
    </cfRule>
  </conditionalFormatting>
  <conditionalFormatting sqref="H231:H234">
    <cfRule type="colorScale" priority="619">
      <colorScale>
        <cfvo type="min"/>
        <cfvo type="max"/>
        <color rgb="FFFCFCFF"/>
        <color rgb="FFF8696B"/>
      </colorScale>
    </cfRule>
  </conditionalFormatting>
  <conditionalFormatting sqref="L231:L234">
    <cfRule type="colorScale" priority="618">
      <colorScale>
        <cfvo type="min"/>
        <cfvo type="max"/>
        <color rgb="FFFCFCFF"/>
        <color rgb="FFF8696B"/>
      </colorScale>
    </cfRule>
  </conditionalFormatting>
  <conditionalFormatting sqref="O231:O234">
    <cfRule type="colorScale" priority="617">
      <colorScale>
        <cfvo type="min"/>
        <cfvo type="max"/>
        <color rgb="FFFCFCFF"/>
        <color rgb="FFF8696B"/>
      </colorScale>
    </cfRule>
  </conditionalFormatting>
  <conditionalFormatting sqref="P231:P234">
    <cfRule type="colorScale" priority="616">
      <colorScale>
        <cfvo type="min"/>
        <cfvo type="max"/>
        <color rgb="FFFCFCFF"/>
        <color rgb="FFF8696B"/>
      </colorScale>
    </cfRule>
  </conditionalFormatting>
  <conditionalFormatting sqref="S231:S234">
    <cfRule type="colorScale" priority="615">
      <colorScale>
        <cfvo type="min"/>
        <cfvo type="max"/>
        <color rgb="FFFCFCFF"/>
        <color rgb="FFF8696B"/>
      </colorScale>
    </cfRule>
  </conditionalFormatting>
  <conditionalFormatting sqref="H235:H238">
    <cfRule type="colorScale" priority="614">
      <colorScale>
        <cfvo type="min"/>
        <cfvo type="max"/>
        <color rgb="FFFCFCFF"/>
        <color rgb="FFF8696B"/>
      </colorScale>
    </cfRule>
  </conditionalFormatting>
  <conditionalFormatting sqref="L235:L238">
    <cfRule type="colorScale" priority="613">
      <colorScale>
        <cfvo type="min"/>
        <cfvo type="max"/>
        <color rgb="FFFCFCFF"/>
        <color rgb="FFF8696B"/>
      </colorScale>
    </cfRule>
  </conditionalFormatting>
  <conditionalFormatting sqref="J235:J238">
    <cfRule type="colorScale" priority="612">
      <colorScale>
        <cfvo type="min"/>
        <cfvo type="max"/>
        <color rgb="FFFCFCFF"/>
        <color rgb="FFF8696B"/>
      </colorScale>
    </cfRule>
  </conditionalFormatting>
  <conditionalFormatting sqref="F235:F238">
    <cfRule type="colorScale" priority="611">
      <colorScale>
        <cfvo type="min"/>
        <cfvo type="max"/>
        <color rgb="FFFCFCFF"/>
        <color rgb="FFF8696B"/>
      </colorScale>
    </cfRule>
  </conditionalFormatting>
  <conditionalFormatting sqref="F239:F242">
    <cfRule type="colorScale" priority="610">
      <colorScale>
        <cfvo type="min"/>
        <cfvo type="max"/>
        <color rgb="FFFCFCFF"/>
        <color rgb="FFF8696B"/>
      </colorScale>
    </cfRule>
  </conditionalFormatting>
  <conditionalFormatting sqref="G239:G242">
    <cfRule type="colorScale" priority="609">
      <colorScale>
        <cfvo type="min"/>
        <cfvo type="max"/>
        <color rgb="FFFCFCFF"/>
        <color rgb="FFF8696B"/>
      </colorScale>
    </cfRule>
  </conditionalFormatting>
  <conditionalFormatting sqref="H239:H242">
    <cfRule type="colorScale" priority="608">
      <colorScale>
        <cfvo type="min"/>
        <cfvo type="max"/>
        <color rgb="FFFCFCFF"/>
        <color rgb="FFF8696B"/>
      </colorScale>
    </cfRule>
  </conditionalFormatting>
  <conditionalFormatting sqref="J239:J242">
    <cfRule type="colorScale" priority="607">
      <colorScale>
        <cfvo type="min"/>
        <cfvo type="max"/>
        <color rgb="FFFCFCFF"/>
        <color rgb="FFF8696B"/>
      </colorScale>
    </cfRule>
  </conditionalFormatting>
  <conditionalFormatting sqref="K239:K242">
    <cfRule type="colorScale" priority="606">
      <colorScale>
        <cfvo type="min"/>
        <cfvo type="max"/>
        <color rgb="FFFCFCFF"/>
        <color rgb="FFF8696B"/>
      </colorScale>
    </cfRule>
  </conditionalFormatting>
  <conditionalFormatting sqref="L239:L242">
    <cfRule type="colorScale" priority="605">
      <colorScale>
        <cfvo type="min"/>
        <cfvo type="max"/>
        <color rgb="FFFCFCFF"/>
        <color rgb="FFF8696B"/>
      </colorScale>
    </cfRule>
  </conditionalFormatting>
  <conditionalFormatting sqref="P239:P242">
    <cfRule type="colorScale" priority="604">
      <colorScale>
        <cfvo type="min"/>
        <cfvo type="max"/>
        <color rgb="FFFCFCFF"/>
        <color rgb="FFF8696B"/>
      </colorScale>
    </cfRule>
  </conditionalFormatting>
  <conditionalFormatting sqref="T239:U242">
    <cfRule type="colorScale" priority="603">
      <colorScale>
        <cfvo type="min"/>
        <cfvo type="max"/>
        <color rgb="FFFCFCFF"/>
        <color rgb="FFF8696B"/>
      </colorScale>
    </cfRule>
  </conditionalFormatting>
  <conditionalFormatting sqref="T231:U234">
    <cfRule type="colorScale" priority="602">
      <colorScale>
        <cfvo type="min"/>
        <cfvo type="max"/>
        <color rgb="FFFCFCFF"/>
        <color rgb="FFF8696B"/>
      </colorScale>
    </cfRule>
  </conditionalFormatting>
  <conditionalFormatting sqref="H243:H246">
    <cfRule type="colorScale" priority="601">
      <colorScale>
        <cfvo type="min"/>
        <cfvo type="max"/>
        <color rgb="FFFCFCFF"/>
        <color rgb="FFF8696B"/>
      </colorScale>
    </cfRule>
  </conditionalFormatting>
  <conditionalFormatting sqref="L243:L246">
    <cfRule type="colorScale" priority="600">
      <colorScale>
        <cfvo type="min"/>
        <cfvo type="max"/>
        <color rgb="FFFCFCFF"/>
        <color rgb="FFF8696B"/>
      </colorScale>
    </cfRule>
  </conditionalFormatting>
  <conditionalFormatting sqref="F247:F250">
    <cfRule type="colorScale" priority="599">
      <colorScale>
        <cfvo type="min"/>
        <cfvo type="max"/>
        <color rgb="FFFCFCFF"/>
        <color rgb="FFF8696B"/>
      </colorScale>
    </cfRule>
  </conditionalFormatting>
  <conditionalFormatting sqref="J247:J250">
    <cfRule type="colorScale" priority="598">
      <colorScale>
        <cfvo type="min"/>
        <cfvo type="max"/>
        <color rgb="FFFCFCFF"/>
        <color rgb="FFF8696B"/>
      </colorScale>
    </cfRule>
  </conditionalFormatting>
  <conditionalFormatting sqref="K247:K250">
    <cfRule type="colorScale" priority="597">
      <colorScale>
        <cfvo type="min"/>
        <cfvo type="max"/>
        <color rgb="FFFCFCFF"/>
        <color rgb="FFF8696B"/>
      </colorScale>
    </cfRule>
  </conditionalFormatting>
  <conditionalFormatting sqref="L247:L250">
    <cfRule type="colorScale" priority="596">
      <colorScale>
        <cfvo type="min"/>
        <cfvo type="max"/>
        <color rgb="FFFCFCFF"/>
        <color rgb="FFF8696B"/>
      </colorScale>
    </cfRule>
  </conditionalFormatting>
  <conditionalFormatting sqref="N247:N250">
    <cfRule type="colorScale" priority="595">
      <colorScale>
        <cfvo type="min"/>
        <cfvo type="max"/>
        <color rgb="FFFCFCFF"/>
        <color rgb="FFF8696B"/>
      </colorScale>
    </cfRule>
  </conditionalFormatting>
  <conditionalFormatting sqref="O247:O250">
    <cfRule type="colorScale" priority="594">
      <colorScale>
        <cfvo type="min"/>
        <cfvo type="max"/>
        <color rgb="FFFCFCFF"/>
        <color rgb="FFF8696B"/>
      </colorScale>
    </cfRule>
  </conditionalFormatting>
  <conditionalFormatting sqref="P247:P250">
    <cfRule type="colorScale" priority="593">
      <colorScale>
        <cfvo type="min"/>
        <cfvo type="max"/>
        <color rgb="FFFCFCFF"/>
        <color rgb="FFF8696B"/>
      </colorScale>
    </cfRule>
  </conditionalFormatting>
  <conditionalFormatting sqref="R247:R250">
    <cfRule type="colorScale" priority="592">
      <colorScale>
        <cfvo type="min"/>
        <cfvo type="max"/>
        <color rgb="FFFCFCFF"/>
        <color rgb="FFF8696B"/>
      </colorScale>
    </cfRule>
  </conditionalFormatting>
  <conditionalFormatting sqref="S247:S250">
    <cfRule type="colorScale" priority="591">
      <colorScale>
        <cfvo type="min"/>
        <cfvo type="max"/>
        <color rgb="FFFCFCFF"/>
        <color rgb="FFF8696B"/>
      </colorScale>
    </cfRule>
  </conditionalFormatting>
  <conditionalFormatting sqref="T247:U250">
    <cfRule type="colorScale" priority="590">
      <colorScale>
        <cfvo type="min"/>
        <cfvo type="max"/>
        <color rgb="FFFCFCFF"/>
        <color rgb="FFF8696B"/>
      </colorScale>
    </cfRule>
  </conditionalFormatting>
  <conditionalFormatting sqref="G247:G250">
    <cfRule type="colorScale" priority="589">
      <colorScale>
        <cfvo type="min"/>
        <cfvo type="max"/>
        <color rgb="FFFCFCFF"/>
        <color rgb="FFF8696B"/>
      </colorScale>
    </cfRule>
  </conditionalFormatting>
  <conditionalFormatting sqref="H247:H250">
    <cfRule type="colorScale" priority="588">
      <colorScale>
        <cfvo type="min"/>
        <cfvo type="max"/>
        <color rgb="FFFCFCFF"/>
        <color rgb="FFF8696B"/>
      </colorScale>
    </cfRule>
  </conditionalFormatting>
  <conditionalFormatting sqref="F255:F258">
    <cfRule type="colorScale" priority="587">
      <colorScale>
        <cfvo type="min"/>
        <cfvo type="max"/>
        <color rgb="FFFCFCFF"/>
        <color rgb="FFF8696B"/>
      </colorScale>
    </cfRule>
  </conditionalFormatting>
  <conditionalFormatting sqref="G255:G258">
    <cfRule type="colorScale" priority="586">
      <colorScale>
        <cfvo type="min"/>
        <cfvo type="max"/>
        <color rgb="FFFCFCFF"/>
        <color rgb="FFF8696B"/>
      </colorScale>
    </cfRule>
  </conditionalFormatting>
  <conditionalFormatting sqref="H255:H258">
    <cfRule type="colorScale" priority="585">
      <colorScale>
        <cfvo type="min"/>
        <cfvo type="max"/>
        <color rgb="FFFCFCFF"/>
        <color rgb="FFF8696B"/>
      </colorScale>
    </cfRule>
  </conditionalFormatting>
  <conditionalFormatting sqref="G259:G262">
    <cfRule type="colorScale" priority="584">
      <colorScale>
        <cfvo type="min"/>
        <cfvo type="max"/>
        <color rgb="FFFCFCFF"/>
        <color rgb="FFF8696B"/>
      </colorScale>
    </cfRule>
  </conditionalFormatting>
  <conditionalFormatting sqref="J255:J258">
    <cfRule type="colorScale" priority="583">
      <colorScale>
        <cfvo type="min"/>
        <cfvo type="max"/>
        <color rgb="FFFCFCFF"/>
        <color rgb="FFF8696B"/>
      </colorScale>
    </cfRule>
  </conditionalFormatting>
  <conditionalFormatting sqref="K255:K258">
    <cfRule type="colorScale" priority="582">
      <colorScale>
        <cfvo type="min"/>
        <cfvo type="max"/>
        <color rgb="FFFCFCFF"/>
        <color rgb="FFF8696B"/>
      </colorScale>
    </cfRule>
  </conditionalFormatting>
  <conditionalFormatting sqref="L255:L258">
    <cfRule type="colorScale" priority="581">
      <colorScale>
        <cfvo type="min"/>
        <cfvo type="max"/>
        <color rgb="FFFCFCFF"/>
        <color rgb="FFF8696B"/>
      </colorScale>
    </cfRule>
  </conditionalFormatting>
  <conditionalFormatting sqref="K259:K262">
    <cfRule type="colorScale" priority="580">
      <colorScale>
        <cfvo type="min"/>
        <cfvo type="max"/>
        <color rgb="FFFCFCFF"/>
        <color rgb="FFF8696B"/>
      </colorScale>
    </cfRule>
  </conditionalFormatting>
  <conditionalFormatting sqref="N255:N258">
    <cfRule type="colorScale" priority="579">
      <colorScale>
        <cfvo type="min"/>
        <cfvo type="max"/>
        <color rgb="FFFCFCFF"/>
        <color rgb="FFF8696B"/>
      </colorScale>
    </cfRule>
  </conditionalFormatting>
  <conditionalFormatting sqref="O255:O258">
    <cfRule type="colorScale" priority="578">
      <colorScale>
        <cfvo type="min"/>
        <cfvo type="max"/>
        <color rgb="FFFCFCFF"/>
        <color rgb="FFF8696B"/>
      </colorScale>
    </cfRule>
  </conditionalFormatting>
  <conditionalFormatting sqref="P255:P258">
    <cfRule type="colorScale" priority="577">
      <colorScale>
        <cfvo type="min"/>
        <cfvo type="max"/>
        <color rgb="FFFCFCFF"/>
        <color rgb="FFF8696B"/>
      </colorScale>
    </cfRule>
  </conditionalFormatting>
  <conditionalFormatting sqref="O259:O262">
    <cfRule type="colorScale" priority="576">
      <colorScale>
        <cfvo type="min"/>
        <cfvo type="max"/>
        <color rgb="FFFCFCFF"/>
        <color rgb="FFF8696B"/>
      </colorScale>
    </cfRule>
  </conditionalFormatting>
  <conditionalFormatting sqref="N263:N266">
    <cfRule type="colorScale" priority="575">
      <colorScale>
        <cfvo type="min"/>
        <cfvo type="max"/>
        <color rgb="FFFCFCFF"/>
        <color rgb="FFF8696B"/>
      </colorScale>
    </cfRule>
  </conditionalFormatting>
  <conditionalFormatting sqref="O263:O266">
    <cfRule type="colorScale" priority="574">
      <colorScale>
        <cfvo type="min"/>
        <cfvo type="max"/>
        <color rgb="FFFCFCFF"/>
        <color rgb="FFF8696B"/>
      </colorScale>
    </cfRule>
  </conditionalFormatting>
  <conditionalFormatting sqref="P263:P266">
    <cfRule type="colorScale" priority="573">
      <colorScale>
        <cfvo type="min"/>
        <cfvo type="max"/>
        <color rgb="FFFCFCFF"/>
        <color rgb="FFF8696B"/>
      </colorScale>
    </cfRule>
  </conditionalFormatting>
  <conditionalFormatting sqref="O267:O275">
    <cfRule type="colorScale" priority="572">
      <colorScale>
        <cfvo type="min"/>
        <cfvo type="max"/>
        <color rgb="FFFCFCFF"/>
        <color rgb="FFF8696B"/>
      </colorScale>
    </cfRule>
  </conditionalFormatting>
  <conditionalFormatting sqref="R255:R258">
    <cfRule type="colorScale" priority="571">
      <colorScale>
        <cfvo type="min"/>
        <cfvo type="max"/>
        <color rgb="FFFCFCFF"/>
        <color rgb="FFF8696B"/>
      </colorScale>
    </cfRule>
  </conditionalFormatting>
  <conditionalFormatting sqref="S255:S258">
    <cfRule type="colorScale" priority="570">
      <colorScale>
        <cfvo type="min"/>
        <cfvo type="max"/>
        <color rgb="FFFCFCFF"/>
        <color rgb="FFF8696B"/>
      </colorScale>
    </cfRule>
  </conditionalFormatting>
  <conditionalFormatting sqref="T255:U258">
    <cfRule type="colorScale" priority="569">
      <colorScale>
        <cfvo type="min"/>
        <cfvo type="max"/>
        <color rgb="FFFCFCFF"/>
        <color rgb="FFF8696B"/>
      </colorScale>
    </cfRule>
  </conditionalFormatting>
  <conditionalFormatting sqref="S259:S262">
    <cfRule type="colorScale" priority="568">
      <colorScale>
        <cfvo type="min"/>
        <cfvo type="max"/>
        <color rgb="FFFCFCFF"/>
        <color rgb="FFF8696B"/>
      </colorScale>
    </cfRule>
  </conditionalFormatting>
  <conditionalFormatting sqref="R263:R266">
    <cfRule type="colorScale" priority="567">
      <colorScale>
        <cfvo type="min"/>
        <cfvo type="max"/>
        <color rgb="FFFCFCFF"/>
        <color rgb="FFF8696B"/>
      </colorScale>
    </cfRule>
  </conditionalFormatting>
  <conditionalFormatting sqref="S263:S266">
    <cfRule type="colorScale" priority="566">
      <colorScale>
        <cfvo type="min"/>
        <cfvo type="max"/>
        <color rgb="FFFCFCFF"/>
        <color rgb="FFF8696B"/>
      </colorScale>
    </cfRule>
  </conditionalFormatting>
  <conditionalFormatting sqref="T263:U266">
    <cfRule type="colorScale" priority="565">
      <colorScale>
        <cfvo type="min"/>
        <cfvo type="max"/>
        <color rgb="FFFCFCFF"/>
        <color rgb="FFF8696B"/>
      </colorScale>
    </cfRule>
  </conditionalFormatting>
  <conditionalFormatting sqref="S267:S270">
    <cfRule type="colorScale" priority="564">
      <colorScale>
        <cfvo type="min"/>
        <cfvo type="max"/>
        <color rgb="FFFCFCFF"/>
        <color rgb="FFF8696B"/>
      </colorScale>
    </cfRule>
  </conditionalFormatting>
  <conditionalFormatting sqref="S271:S275">
    <cfRule type="colorScale" priority="563">
      <colorScale>
        <cfvo type="min"/>
        <cfvo type="max"/>
        <color rgb="FFFCFCFF"/>
        <color rgb="FFF8696B"/>
      </colorScale>
    </cfRule>
  </conditionalFormatting>
  <conditionalFormatting sqref="F280:F283">
    <cfRule type="colorScale" priority="562">
      <colorScale>
        <cfvo type="min"/>
        <cfvo type="max"/>
        <color rgb="FFFCFCFF"/>
        <color rgb="FFF8696B"/>
      </colorScale>
    </cfRule>
  </conditionalFormatting>
  <conditionalFormatting sqref="G280:G283">
    <cfRule type="colorScale" priority="561">
      <colorScale>
        <cfvo type="min"/>
        <cfvo type="max"/>
        <color rgb="FFFCFCFF"/>
        <color rgb="FFF8696B"/>
      </colorScale>
    </cfRule>
  </conditionalFormatting>
  <conditionalFormatting sqref="H280:H283">
    <cfRule type="colorScale" priority="560">
      <colorScale>
        <cfvo type="min"/>
        <cfvo type="max"/>
        <color rgb="FFFCFCFF"/>
        <color rgb="FFF8696B"/>
      </colorScale>
    </cfRule>
  </conditionalFormatting>
  <conditionalFormatting sqref="J276:J283">
    <cfRule type="colorScale" priority="559">
      <colorScale>
        <cfvo type="min"/>
        <cfvo type="max"/>
        <color rgb="FFFCFCFF"/>
        <color rgb="FFF8696B"/>
      </colorScale>
    </cfRule>
  </conditionalFormatting>
  <conditionalFormatting sqref="K276:K283">
    <cfRule type="colorScale" priority="558">
      <colorScale>
        <cfvo type="min"/>
        <cfvo type="max"/>
        <color rgb="FFFCFCFF"/>
        <color rgb="FFF8696B"/>
      </colorScale>
    </cfRule>
  </conditionalFormatting>
  <conditionalFormatting sqref="L276:L283">
    <cfRule type="colorScale" priority="557">
      <colorScale>
        <cfvo type="min"/>
        <cfvo type="max"/>
        <color rgb="FFFCFCFF"/>
        <color rgb="FFF8696B"/>
      </colorScale>
    </cfRule>
  </conditionalFormatting>
  <conditionalFormatting sqref="N280:N283">
    <cfRule type="colorScale" priority="556">
      <colorScale>
        <cfvo type="min"/>
        <cfvo type="max"/>
        <color rgb="FFFCFCFF"/>
        <color rgb="FFF8696B"/>
      </colorScale>
    </cfRule>
  </conditionalFormatting>
  <conditionalFormatting sqref="O280:O283">
    <cfRule type="colorScale" priority="555">
      <colorScale>
        <cfvo type="min"/>
        <cfvo type="max"/>
        <color rgb="FFFCFCFF"/>
        <color rgb="FFF8696B"/>
      </colorScale>
    </cfRule>
  </conditionalFormatting>
  <conditionalFormatting sqref="P280:P283">
    <cfRule type="colorScale" priority="554">
      <colorScale>
        <cfvo type="min"/>
        <cfvo type="max"/>
        <color rgb="FFFCFCFF"/>
        <color rgb="FFF8696B"/>
      </colorScale>
    </cfRule>
  </conditionalFormatting>
  <conditionalFormatting sqref="R276:R283">
    <cfRule type="colorScale" priority="553">
      <colorScale>
        <cfvo type="min"/>
        <cfvo type="max"/>
        <color rgb="FFFCFCFF"/>
        <color rgb="FFF8696B"/>
      </colorScale>
    </cfRule>
  </conditionalFormatting>
  <conditionalFormatting sqref="S276:S283">
    <cfRule type="colorScale" priority="552">
      <colorScale>
        <cfvo type="min"/>
        <cfvo type="max"/>
        <color rgb="FFFCFCFF"/>
        <color rgb="FFF8696B"/>
      </colorScale>
    </cfRule>
  </conditionalFormatting>
  <conditionalFormatting sqref="T276:U283">
    <cfRule type="colorScale" priority="551">
      <colorScale>
        <cfvo type="min"/>
        <cfvo type="max"/>
        <color rgb="FFFCFCFF"/>
        <color rgb="FFF8696B"/>
      </colorScale>
    </cfRule>
  </conditionalFormatting>
  <conditionalFormatting sqref="F284:F287">
    <cfRule type="colorScale" priority="550">
      <colorScale>
        <cfvo type="min"/>
        <cfvo type="max"/>
        <color rgb="FFFCFCFF"/>
        <color rgb="FFF8696B"/>
      </colorScale>
    </cfRule>
  </conditionalFormatting>
  <conditionalFormatting sqref="G284:G287">
    <cfRule type="colorScale" priority="549">
      <colorScale>
        <cfvo type="min"/>
        <cfvo type="max"/>
        <color rgb="FFFCFCFF"/>
        <color rgb="FFF8696B"/>
      </colorScale>
    </cfRule>
  </conditionalFormatting>
  <conditionalFormatting sqref="H284:H287">
    <cfRule type="colorScale" priority="548">
      <colorScale>
        <cfvo type="min"/>
        <cfvo type="max"/>
        <color rgb="FFFCFCFF"/>
        <color rgb="FFF8696B"/>
      </colorScale>
    </cfRule>
  </conditionalFormatting>
  <conditionalFormatting sqref="J284:J287">
    <cfRule type="colorScale" priority="547">
      <colorScale>
        <cfvo type="min"/>
        <cfvo type="max"/>
        <color rgb="FFFCFCFF"/>
        <color rgb="FFF8696B"/>
      </colorScale>
    </cfRule>
  </conditionalFormatting>
  <conditionalFormatting sqref="K284:K287">
    <cfRule type="colorScale" priority="546">
      <colorScale>
        <cfvo type="min"/>
        <cfvo type="max"/>
        <color rgb="FFFCFCFF"/>
        <color rgb="FFF8696B"/>
      </colorScale>
    </cfRule>
  </conditionalFormatting>
  <conditionalFormatting sqref="L284:L287">
    <cfRule type="colorScale" priority="545">
      <colorScale>
        <cfvo type="min"/>
        <cfvo type="max"/>
        <color rgb="FFFCFCFF"/>
        <color rgb="FFF8696B"/>
      </colorScale>
    </cfRule>
  </conditionalFormatting>
  <conditionalFormatting sqref="N284:N287">
    <cfRule type="colorScale" priority="544">
      <colorScale>
        <cfvo type="min"/>
        <cfvo type="max"/>
        <color rgb="FFFCFCFF"/>
        <color rgb="FFF8696B"/>
      </colorScale>
    </cfRule>
  </conditionalFormatting>
  <conditionalFormatting sqref="O284:O287">
    <cfRule type="colorScale" priority="543">
      <colorScale>
        <cfvo type="min"/>
        <cfvo type="max"/>
        <color rgb="FFFCFCFF"/>
        <color rgb="FFF8696B"/>
      </colorScale>
    </cfRule>
  </conditionalFormatting>
  <conditionalFormatting sqref="P284:P287">
    <cfRule type="colorScale" priority="542">
      <colorScale>
        <cfvo type="min"/>
        <cfvo type="max"/>
        <color rgb="FFFCFCFF"/>
        <color rgb="FFF8696B"/>
      </colorScale>
    </cfRule>
  </conditionalFormatting>
  <conditionalFormatting sqref="R284:R287">
    <cfRule type="colorScale" priority="541">
      <colorScale>
        <cfvo type="min"/>
        <cfvo type="max"/>
        <color rgb="FFFCFCFF"/>
        <color rgb="FFF8696B"/>
      </colorScale>
    </cfRule>
  </conditionalFormatting>
  <conditionalFormatting sqref="S284:S287">
    <cfRule type="colorScale" priority="540">
      <colorScale>
        <cfvo type="min"/>
        <cfvo type="max"/>
        <color rgb="FFFCFCFF"/>
        <color rgb="FFF8696B"/>
      </colorScale>
    </cfRule>
  </conditionalFormatting>
  <conditionalFormatting sqref="T284:U287">
    <cfRule type="colorScale" priority="539">
      <colorScale>
        <cfvo type="min"/>
        <cfvo type="max"/>
        <color rgb="FFFCFCFF"/>
        <color rgb="FFF8696B"/>
      </colorScale>
    </cfRule>
  </conditionalFormatting>
  <conditionalFormatting sqref="F288:F291">
    <cfRule type="colorScale" priority="538">
      <colorScale>
        <cfvo type="min"/>
        <cfvo type="max"/>
        <color rgb="FFFCFCFF"/>
        <color rgb="FFF8696B"/>
      </colorScale>
    </cfRule>
  </conditionalFormatting>
  <conditionalFormatting sqref="G288:G291">
    <cfRule type="colorScale" priority="537">
      <colorScale>
        <cfvo type="min"/>
        <cfvo type="max"/>
        <color rgb="FFFCFCFF"/>
        <color rgb="FFF8696B"/>
      </colorScale>
    </cfRule>
  </conditionalFormatting>
  <conditionalFormatting sqref="H288:H291">
    <cfRule type="colorScale" priority="536">
      <colorScale>
        <cfvo type="min"/>
        <cfvo type="max"/>
        <color rgb="FFFCFCFF"/>
        <color rgb="FFF8696B"/>
      </colorScale>
    </cfRule>
  </conditionalFormatting>
  <conditionalFormatting sqref="J288:J291">
    <cfRule type="colorScale" priority="535">
      <colorScale>
        <cfvo type="min"/>
        <cfvo type="max"/>
        <color rgb="FFFCFCFF"/>
        <color rgb="FFF8696B"/>
      </colorScale>
    </cfRule>
  </conditionalFormatting>
  <conditionalFormatting sqref="K288:K291">
    <cfRule type="colorScale" priority="534">
      <colorScale>
        <cfvo type="min"/>
        <cfvo type="max"/>
        <color rgb="FFFCFCFF"/>
        <color rgb="FFF8696B"/>
      </colorScale>
    </cfRule>
  </conditionalFormatting>
  <conditionalFormatting sqref="L288:L291">
    <cfRule type="colorScale" priority="533">
      <colorScale>
        <cfvo type="min"/>
        <cfvo type="max"/>
        <color rgb="FFFCFCFF"/>
        <color rgb="FFF8696B"/>
      </colorScale>
    </cfRule>
  </conditionalFormatting>
  <conditionalFormatting sqref="N288:N295">
    <cfRule type="colorScale" priority="532">
      <colorScale>
        <cfvo type="min"/>
        <cfvo type="max"/>
        <color rgb="FFFCFCFF"/>
        <color rgb="FFF8696B"/>
      </colorScale>
    </cfRule>
  </conditionalFormatting>
  <conditionalFormatting sqref="O288:O295">
    <cfRule type="colorScale" priority="531">
      <colorScale>
        <cfvo type="min"/>
        <cfvo type="max"/>
        <color rgb="FFFCFCFF"/>
        <color rgb="FFF8696B"/>
      </colorScale>
    </cfRule>
  </conditionalFormatting>
  <conditionalFormatting sqref="P288:P295">
    <cfRule type="colorScale" priority="530">
      <colorScale>
        <cfvo type="min"/>
        <cfvo type="max"/>
        <color rgb="FFFCFCFF"/>
        <color rgb="FFF8696B"/>
      </colorScale>
    </cfRule>
  </conditionalFormatting>
  <conditionalFormatting sqref="R288:R295">
    <cfRule type="colorScale" priority="529">
      <colorScale>
        <cfvo type="min"/>
        <cfvo type="max"/>
        <color rgb="FFFCFCFF"/>
        <color rgb="FFF8696B"/>
      </colorScale>
    </cfRule>
  </conditionalFormatting>
  <conditionalFormatting sqref="S288:S295">
    <cfRule type="colorScale" priority="528">
      <colorScale>
        <cfvo type="min"/>
        <cfvo type="max"/>
        <color rgb="FFFCFCFF"/>
        <color rgb="FFF8696B"/>
      </colorScale>
    </cfRule>
  </conditionalFormatting>
  <conditionalFormatting sqref="T288:U295">
    <cfRule type="colorScale" priority="527">
      <colorScale>
        <cfvo type="min"/>
        <cfvo type="max"/>
        <color rgb="FFFCFCFF"/>
        <color rgb="FFF8696B"/>
      </colorScale>
    </cfRule>
  </conditionalFormatting>
  <conditionalFormatting sqref="R292:R295">
    <cfRule type="colorScale" priority="526">
      <colorScale>
        <cfvo type="min"/>
        <cfvo type="max"/>
        <color rgb="FFFCFCFF"/>
        <color rgb="FFF8696B"/>
      </colorScale>
    </cfRule>
  </conditionalFormatting>
  <conditionalFormatting sqref="S292:S295">
    <cfRule type="colorScale" priority="525">
      <colorScale>
        <cfvo type="min"/>
        <cfvo type="max"/>
        <color rgb="FFFCFCFF"/>
        <color rgb="FFF8696B"/>
      </colorScale>
    </cfRule>
  </conditionalFormatting>
  <conditionalFormatting sqref="T292:U295">
    <cfRule type="colorScale" priority="524">
      <colorScale>
        <cfvo type="min"/>
        <cfvo type="max"/>
        <color rgb="FFFCFCFF"/>
        <color rgb="FFF8696B"/>
      </colorScale>
    </cfRule>
  </conditionalFormatting>
  <conditionalFormatting sqref="N292:N295">
    <cfRule type="colorScale" priority="523">
      <colorScale>
        <cfvo type="min"/>
        <cfvo type="max"/>
        <color rgb="FFFCFCFF"/>
        <color rgb="FFF8696B"/>
      </colorScale>
    </cfRule>
  </conditionalFormatting>
  <conditionalFormatting sqref="O292:O295">
    <cfRule type="colorScale" priority="522">
      <colorScale>
        <cfvo type="min"/>
        <cfvo type="max"/>
        <color rgb="FFFCFCFF"/>
        <color rgb="FFF8696B"/>
      </colorScale>
    </cfRule>
  </conditionalFormatting>
  <conditionalFormatting sqref="P292:P295">
    <cfRule type="colorScale" priority="521">
      <colorScale>
        <cfvo type="min"/>
        <cfvo type="max"/>
        <color rgb="FFFCFCFF"/>
        <color rgb="FFF8696B"/>
      </colorScale>
    </cfRule>
  </conditionalFormatting>
  <conditionalFormatting sqref="F296:F299">
    <cfRule type="colorScale" priority="520">
      <colorScale>
        <cfvo type="min"/>
        <cfvo type="max"/>
        <color rgb="FFFCFCFF"/>
        <color rgb="FFF8696B"/>
      </colorScale>
    </cfRule>
  </conditionalFormatting>
  <conditionalFormatting sqref="G296:G299">
    <cfRule type="colorScale" priority="519">
      <colorScale>
        <cfvo type="min"/>
        <cfvo type="max"/>
        <color rgb="FFFCFCFF"/>
        <color rgb="FFF8696B"/>
      </colorScale>
    </cfRule>
  </conditionalFormatting>
  <conditionalFormatting sqref="J296:J299">
    <cfRule type="colorScale" priority="518">
      <colorScale>
        <cfvo type="min"/>
        <cfvo type="max"/>
        <color rgb="FFFCFCFF"/>
        <color rgb="FFF8696B"/>
      </colorScale>
    </cfRule>
  </conditionalFormatting>
  <conditionalFormatting sqref="K296:K299">
    <cfRule type="colorScale" priority="517">
      <colorScale>
        <cfvo type="min"/>
        <cfvo type="max"/>
        <color rgb="FFFCFCFF"/>
        <color rgb="FFF8696B"/>
      </colorScale>
    </cfRule>
  </conditionalFormatting>
  <conditionalFormatting sqref="F300:F303">
    <cfRule type="colorScale" priority="516">
      <colorScale>
        <cfvo type="min"/>
        <cfvo type="max"/>
        <color rgb="FFFCFCFF"/>
        <color rgb="FFF8696B"/>
      </colorScale>
    </cfRule>
  </conditionalFormatting>
  <conditionalFormatting sqref="G300:G303">
    <cfRule type="colorScale" priority="515">
      <colorScale>
        <cfvo type="min"/>
        <cfvo type="max"/>
        <color rgb="FFFCFCFF"/>
        <color rgb="FFF8696B"/>
      </colorScale>
    </cfRule>
  </conditionalFormatting>
  <conditionalFormatting sqref="H300:H303">
    <cfRule type="colorScale" priority="514">
      <colorScale>
        <cfvo type="min"/>
        <cfvo type="max"/>
        <color rgb="FFFCFCFF"/>
        <color rgb="FFF8696B"/>
      </colorScale>
    </cfRule>
  </conditionalFormatting>
  <conditionalFormatting sqref="J300:J303">
    <cfRule type="colorScale" priority="513">
      <colorScale>
        <cfvo type="min"/>
        <cfvo type="max"/>
        <color rgb="FFFCFCFF"/>
        <color rgb="FFF8696B"/>
      </colorScale>
    </cfRule>
  </conditionalFormatting>
  <conditionalFormatting sqref="K300:K303">
    <cfRule type="colorScale" priority="512">
      <colorScale>
        <cfvo type="min"/>
        <cfvo type="max"/>
        <color rgb="FFFCFCFF"/>
        <color rgb="FFF8696B"/>
      </colorScale>
    </cfRule>
  </conditionalFormatting>
  <conditionalFormatting sqref="L300:L303">
    <cfRule type="colorScale" priority="511">
      <colorScale>
        <cfvo type="min"/>
        <cfvo type="max"/>
        <color rgb="FFFCFCFF"/>
        <color rgb="FFF8696B"/>
      </colorScale>
    </cfRule>
  </conditionalFormatting>
  <conditionalFormatting sqref="F304:F307">
    <cfRule type="colorScale" priority="510">
      <colorScale>
        <cfvo type="min"/>
        <cfvo type="max"/>
        <color rgb="FFFCFCFF"/>
        <color rgb="FFF8696B"/>
      </colorScale>
    </cfRule>
  </conditionalFormatting>
  <conditionalFormatting sqref="G304:G307">
    <cfRule type="colorScale" priority="509">
      <colorScale>
        <cfvo type="min"/>
        <cfvo type="max"/>
        <color rgb="FFFCFCFF"/>
        <color rgb="FFF8696B"/>
      </colorScale>
    </cfRule>
  </conditionalFormatting>
  <conditionalFormatting sqref="H304:H307">
    <cfRule type="colorScale" priority="508">
      <colorScale>
        <cfvo type="min"/>
        <cfvo type="max"/>
        <color rgb="FFFCFCFF"/>
        <color rgb="FFF8696B"/>
      </colorScale>
    </cfRule>
  </conditionalFormatting>
  <conditionalFormatting sqref="J304:J307">
    <cfRule type="colorScale" priority="507">
      <colorScale>
        <cfvo type="min"/>
        <cfvo type="max"/>
        <color rgb="FFFCFCFF"/>
        <color rgb="FFF8696B"/>
      </colorScale>
    </cfRule>
  </conditionalFormatting>
  <conditionalFormatting sqref="K304:K307">
    <cfRule type="colorScale" priority="506">
      <colorScale>
        <cfvo type="min"/>
        <cfvo type="max"/>
        <color rgb="FFFCFCFF"/>
        <color rgb="FFF8696B"/>
      </colorScale>
    </cfRule>
  </conditionalFormatting>
  <conditionalFormatting sqref="L304:L307">
    <cfRule type="colorScale" priority="505">
      <colorScale>
        <cfvo type="min"/>
        <cfvo type="max"/>
        <color rgb="FFFCFCFF"/>
        <color rgb="FFF8696B"/>
      </colorScale>
    </cfRule>
  </conditionalFormatting>
  <conditionalFormatting sqref="F312:F315">
    <cfRule type="colorScale" priority="504">
      <colorScale>
        <cfvo type="min"/>
        <cfvo type="max"/>
        <color rgb="FFFCFCFF"/>
        <color rgb="FFF8696B"/>
      </colorScale>
    </cfRule>
  </conditionalFormatting>
  <conditionalFormatting sqref="G312:G315">
    <cfRule type="colorScale" priority="503">
      <colorScale>
        <cfvo type="min"/>
        <cfvo type="max"/>
        <color rgb="FFFCFCFF"/>
        <color rgb="FFF8696B"/>
      </colorScale>
    </cfRule>
  </conditionalFormatting>
  <conditionalFormatting sqref="H312:H315">
    <cfRule type="colorScale" priority="502">
      <colorScale>
        <cfvo type="min"/>
        <cfvo type="max"/>
        <color rgb="FFFCFCFF"/>
        <color rgb="FFF8696B"/>
      </colorScale>
    </cfRule>
  </conditionalFormatting>
  <conditionalFormatting sqref="J312:J315">
    <cfRule type="colorScale" priority="501">
      <colorScale>
        <cfvo type="min"/>
        <cfvo type="max"/>
        <color rgb="FFFCFCFF"/>
        <color rgb="FFF8696B"/>
      </colorScale>
    </cfRule>
  </conditionalFormatting>
  <conditionalFormatting sqref="K312:K315">
    <cfRule type="colorScale" priority="500">
      <colorScale>
        <cfvo type="min"/>
        <cfvo type="max"/>
        <color rgb="FFFCFCFF"/>
        <color rgb="FFF8696B"/>
      </colorScale>
    </cfRule>
  </conditionalFormatting>
  <conditionalFormatting sqref="L312:L315">
    <cfRule type="colorScale" priority="499">
      <colorScale>
        <cfvo type="min"/>
        <cfvo type="max"/>
        <color rgb="FFFCFCFF"/>
        <color rgb="FFF8696B"/>
      </colorScale>
    </cfRule>
  </conditionalFormatting>
  <conditionalFormatting sqref="G316:G319">
    <cfRule type="colorScale" priority="498">
      <colorScale>
        <cfvo type="min"/>
        <cfvo type="max"/>
        <color rgb="FFFCFCFF"/>
        <color rgb="FFF8696B"/>
      </colorScale>
    </cfRule>
  </conditionalFormatting>
  <conditionalFormatting sqref="K316:K319">
    <cfRule type="colorScale" priority="497">
      <colorScale>
        <cfvo type="min"/>
        <cfvo type="max"/>
        <color rgb="FFFCFCFF"/>
        <color rgb="FFF8696B"/>
      </colorScale>
    </cfRule>
  </conditionalFormatting>
  <conditionalFormatting sqref="F320:F323">
    <cfRule type="colorScale" priority="496">
      <colorScale>
        <cfvo type="min"/>
        <cfvo type="max"/>
        <color rgb="FFFCFCFF"/>
        <color rgb="FFF8696B"/>
      </colorScale>
    </cfRule>
  </conditionalFormatting>
  <conditionalFormatting sqref="G320:G323">
    <cfRule type="colorScale" priority="495">
      <colorScale>
        <cfvo type="min"/>
        <cfvo type="max"/>
        <color rgb="FFFCFCFF"/>
        <color rgb="FFF8696B"/>
      </colorScale>
    </cfRule>
  </conditionalFormatting>
  <conditionalFormatting sqref="H320:H323">
    <cfRule type="colorScale" priority="494">
      <colorScale>
        <cfvo type="min"/>
        <cfvo type="max"/>
        <color rgb="FFFCFCFF"/>
        <color rgb="FFF8696B"/>
      </colorScale>
    </cfRule>
  </conditionalFormatting>
  <conditionalFormatting sqref="J320:J323">
    <cfRule type="colorScale" priority="493">
      <colorScale>
        <cfvo type="min"/>
        <cfvo type="max"/>
        <color rgb="FFFCFCFF"/>
        <color rgb="FFF8696B"/>
      </colorScale>
    </cfRule>
  </conditionalFormatting>
  <conditionalFormatting sqref="K320:K323">
    <cfRule type="colorScale" priority="492">
      <colorScale>
        <cfvo type="min"/>
        <cfvo type="max"/>
        <color rgb="FFFCFCFF"/>
        <color rgb="FFF8696B"/>
      </colorScale>
    </cfRule>
  </conditionalFormatting>
  <conditionalFormatting sqref="L320:L323">
    <cfRule type="colorScale" priority="491">
      <colorScale>
        <cfvo type="min"/>
        <cfvo type="max"/>
        <color rgb="FFFCFCFF"/>
        <color rgb="FFF8696B"/>
      </colorScale>
    </cfRule>
  </conditionalFormatting>
  <conditionalFormatting sqref="N300:N303">
    <cfRule type="colorScale" priority="490">
      <colorScale>
        <cfvo type="min"/>
        <cfvo type="max"/>
        <color rgb="FFFCFCFF"/>
        <color rgb="FFF8696B"/>
      </colorScale>
    </cfRule>
  </conditionalFormatting>
  <conditionalFormatting sqref="O300:O303">
    <cfRule type="colorScale" priority="489">
      <colorScale>
        <cfvo type="min"/>
        <cfvo type="max"/>
        <color rgb="FFFCFCFF"/>
        <color rgb="FFF8696B"/>
      </colorScale>
    </cfRule>
  </conditionalFormatting>
  <conditionalFormatting sqref="P300:P303">
    <cfRule type="colorScale" priority="488">
      <colorScale>
        <cfvo type="min"/>
        <cfvo type="max"/>
        <color rgb="FFFCFCFF"/>
        <color rgb="FFF8696B"/>
      </colorScale>
    </cfRule>
  </conditionalFormatting>
  <conditionalFormatting sqref="R300:R303">
    <cfRule type="colorScale" priority="487">
      <colorScale>
        <cfvo type="min"/>
        <cfvo type="max"/>
        <color rgb="FFFCFCFF"/>
        <color rgb="FFF8696B"/>
      </colorScale>
    </cfRule>
  </conditionalFormatting>
  <conditionalFormatting sqref="S300:S303">
    <cfRule type="colorScale" priority="486">
      <colorScale>
        <cfvo type="min"/>
        <cfvo type="max"/>
        <color rgb="FFFCFCFF"/>
        <color rgb="FFF8696B"/>
      </colorScale>
    </cfRule>
  </conditionalFormatting>
  <conditionalFormatting sqref="T300:U303">
    <cfRule type="colorScale" priority="485">
      <colorScale>
        <cfvo type="min"/>
        <cfvo type="max"/>
        <color rgb="FFFCFCFF"/>
        <color rgb="FFF8696B"/>
      </colorScale>
    </cfRule>
  </conditionalFormatting>
  <conditionalFormatting sqref="N304:N307">
    <cfRule type="colorScale" priority="484">
      <colorScale>
        <cfvo type="min"/>
        <cfvo type="max"/>
        <color rgb="FFFCFCFF"/>
        <color rgb="FFF8696B"/>
      </colorScale>
    </cfRule>
  </conditionalFormatting>
  <conditionalFormatting sqref="O304:O307">
    <cfRule type="colorScale" priority="483">
      <colorScale>
        <cfvo type="min"/>
        <cfvo type="max"/>
        <color rgb="FFFCFCFF"/>
        <color rgb="FFF8696B"/>
      </colorScale>
    </cfRule>
  </conditionalFormatting>
  <conditionalFormatting sqref="P304:P307">
    <cfRule type="colorScale" priority="482">
      <colorScale>
        <cfvo type="min"/>
        <cfvo type="max"/>
        <color rgb="FFFCFCFF"/>
        <color rgb="FFF8696B"/>
      </colorScale>
    </cfRule>
  </conditionalFormatting>
  <conditionalFormatting sqref="R304:R307">
    <cfRule type="colorScale" priority="481">
      <colorScale>
        <cfvo type="min"/>
        <cfvo type="max"/>
        <color rgb="FFFCFCFF"/>
        <color rgb="FFF8696B"/>
      </colorScale>
    </cfRule>
  </conditionalFormatting>
  <conditionalFormatting sqref="S304:S307">
    <cfRule type="colorScale" priority="480">
      <colorScale>
        <cfvo type="min"/>
        <cfvo type="max"/>
        <color rgb="FFFCFCFF"/>
        <color rgb="FFF8696B"/>
      </colorScale>
    </cfRule>
  </conditionalFormatting>
  <conditionalFormatting sqref="T304:U307">
    <cfRule type="colorScale" priority="479">
      <colorScale>
        <cfvo type="min"/>
        <cfvo type="max"/>
        <color rgb="FFFCFCFF"/>
        <color rgb="FFF8696B"/>
      </colorScale>
    </cfRule>
  </conditionalFormatting>
  <conditionalFormatting sqref="O308:O311">
    <cfRule type="colorScale" priority="478">
      <colorScale>
        <cfvo type="min"/>
        <cfvo type="max"/>
        <color rgb="FFFCFCFF"/>
        <color rgb="FFF8696B"/>
      </colorScale>
    </cfRule>
  </conditionalFormatting>
  <conditionalFormatting sqref="S308:S311">
    <cfRule type="colorScale" priority="477">
      <colorScale>
        <cfvo type="min"/>
        <cfvo type="max"/>
        <color rgb="FFFCFCFF"/>
        <color rgb="FFF8696B"/>
      </colorScale>
    </cfRule>
  </conditionalFormatting>
  <conditionalFormatting sqref="N312:N315">
    <cfRule type="colorScale" priority="476">
      <colorScale>
        <cfvo type="min"/>
        <cfvo type="max"/>
        <color rgb="FFFCFCFF"/>
        <color rgb="FFF8696B"/>
      </colorScale>
    </cfRule>
  </conditionalFormatting>
  <conditionalFormatting sqref="O312:O315">
    <cfRule type="colorScale" priority="475">
      <colorScale>
        <cfvo type="min"/>
        <cfvo type="max"/>
        <color rgb="FFFCFCFF"/>
        <color rgb="FFF8696B"/>
      </colorScale>
    </cfRule>
  </conditionalFormatting>
  <conditionalFormatting sqref="P312:P315">
    <cfRule type="colorScale" priority="474">
      <colorScale>
        <cfvo type="min"/>
        <cfvo type="max"/>
        <color rgb="FFFCFCFF"/>
        <color rgb="FFF8696B"/>
      </colorScale>
    </cfRule>
  </conditionalFormatting>
  <conditionalFormatting sqref="R312:R315">
    <cfRule type="colorScale" priority="473">
      <colorScale>
        <cfvo type="min"/>
        <cfvo type="max"/>
        <color rgb="FFFCFCFF"/>
        <color rgb="FFF8696B"/>
      </colorScale>
    </cfRule>
  </conditionalFormatting>
  <conditionalFormatting sqref="S312:S315">
    <cfRule type="colorScale" priority="472">
      <colorScale>
        <cfvo type="min"/>
        <cfvo type="max"/>
        <color rgb="FFFCFCFF"/>
        <color rgb="FFF8696B"/>
      </colorScale>
    </cfRule>
  </conditionalFormatting>
  <conditionalFormatting sqref="T312:U315">
    <cfRule type="colorScale" priority="471">
      <colorScale>
        <cfvo type="min"/>
        <cfvo type="max"/>
        <color rgb="FFFCFCFF"/>
        <color rgb="FFF8696B"/>
      </colorScale>
    </cfRule>
  </conditionalFormatting>
  <conditionalFormatting sqref="P316:P319">
    <cfRule type="colorScale" priority="470">
      <colorScale>
        <cfvo type="min"/>
        <cfvo type="max"/>
        <color rgb="FFFCFCFF"/>
        <color rgb="FFF8696B"/>
      </colorScale>
    </cfRule>
  </conditionalFormatting>
  <conditionalFormatting sqref="T316:U319">
    <cfRule type="colorScale" priority="469">
      <colorScale>
        <cfvo type="min"/>
        <cfvo type="max"/>
        <color rgb="FFFCFCFF"/>
        <color rgb="FFF8696B"/>
      </colorScale>
    </cfRule>
  </conditionalFormatting>
  <conditionalFormatting sqref="N320:N323">
    <cfRule type="colorScale" priority="468">
      <colorScale>
        <cfvo type="min"/>
        <cfvo type="max"/>
        <color rgb="FFFCFCFF"/>
        <color rgb="FFF8696B"/>
      </colorScale>
    </cfRule>
  </conditionalFormatting>
  <conditionalFormatting sqref="O320:O323">
    <cfRule type="colorScale" priority="467">
      <colorScale>
        <cfvo type="min"/>
        <cfvo type="max"/>
        <color rgb="FFFCFCFF"/>
        <color rgb="FFF8696B"/>
      </colorScale>
    </cfRule>
  </conditionalFormatting>
  <conditionalFormatting sqref="P320:P323">
    <cfRule type="colorScale" priority="466">
      <colorScale>
        <cfvo type="min"/>
        <cfvo type="max"/>
        <color rgb="FFFCFCFF"/>
        <color rgb="FFF8696B"/>
      </colorScale>
    </cfRule>
  </conditionalFormatting>
  <conditionalFormatting sqref="R320:R323">
    <cfRule type="colorScale" priority="465">
      <colorScale>
        <cfvo type="min"/>
        <cfvo type="max"/>
        <color rgb="FFFCFCFF"/>
        <color rgb="FFF8696B"/>
      </colorScale>
    </cfRule>
  </conditionalFormatting>
  <conditionalFormatting sqref="S320:S323">
    <cfRule type="colorScale" priority="464">
      <colorScale>
        <cfvo type="min"/>
        <cfvo type="max"/>
        <color rgb="FFFCFCFF"/>
        <color rgb="FFF8696B"/>
      </colorScale>
    </cfRule>
  </conditionalFormatting>
  <conditionalFormatting sqref="T320:U323">
    <cfRule type="colorScale" priority="463">
      <colorScale>
        <cfvo type="min"/>
        <cfvo type="max"/>
        <color rgb="FFFCFCFF"/>
        <color rgb="FFF8696B"/>
      </colorScale>
    </cfRule>
  </conditionalFormatting>
  <conditionalFormatting sqref="N288:N291">
    <cfRule type="colorScale" priority="462">
      <colorScale>
        <cfvo type="min"/>
        <cfvo type="max"/>
        <color rgb="FFFCFCFF"/>
        <color rgb="FFF8696B"/>
      </colorScale>
    </cfRule>
  </conditionalFormatting>
  <conditionalFormatting sqref="O288:O291">
    <cfRule type="colorScale" priority="461">
      <colorScale>
        <cfvo type="min"/>
        <cfvo type="max"/>
        <color rgb="FFFCFCFF"/>
        <color rgb="FFF8696B"/>
      </colorScale>
    </cfRule>
  </conditionalFormatting>
  <conditionalFormatting sqref="P288:P291">
    <cfRule type="colorScale" priority="460">
      <colorScale>
        <cfvo type="min"/>
        <cfvo type="max"/>
        <color rgb="FFFCFCFF"/>
        <color rgb="FFF8696B"/>
      </colorScale>
    </cfRule>
  </conditionalFormatting>
  <conditionalFormatting sqref="F327:F330">
    <cfRule type="colorScale" priority="459">
      <colorScale>
        <cfvo type="min"/>
        <cfvo type="max"/>
        <color rgb="FFFCFCFF"/>
        <color rgb="FFF8696B"/>
      </colorScale>
    </cfRule>
  </conditionalFormatting>
  <conditionalFormatting sqref="H327:H330">
    <cfRule type="colorScale" priority="458">
      <colorScale>
        <cfvo type="min"/>
        <cfvo type="max"/>
        <color rgb="FFFCFCFF"/>
        <color rgb="FFF8696B"/>
      </colorScale>
    </cfRule>
  </conditionalFormatting>
  <conditionalFormatting sqref="J327:J330">
    <cfRule type="colorScale" priority="457">
      <colorScale>
        <cfvo type="min"/>
        <cfvo type="max"/>
        <color rgb="FFFCFCFF"/>
        <color rgb="FFF8696B"/>
      </colorScale>
    </cfRule>
  </conditionalFormatting>
  <conditionalFormatting sqref="L327:L330">
    <cfRule type="colorScale" priority="456">
      <colorScale>
        <cfvo type="min"/>
        <cfvo type="max"/>
        <color rgb="FFFCFCFF"/>
        <color rgb="FFF8696B"/>
      </colorScale>
    </cfRule>
  </conditionalFormatting>
  <conditionalFormatting sqref="N327:N330">
    <cfRule type="colorScale" priority="455">
      <colorScale>
        <cfvo type="min"/>
        <cfvo type="max"/>
        <color rgb="FFFCFCFF"/>
        <color rgb="FFF8696B"/>
      </colorScale>
    </cfRule>
  </conditionalFormatting>
  <conditionalFormatting sqref="O327:O330">
    <cfRule type="colorScale" priority="454">
      <colorScale>
        <cfvo type="min"/>
        <cfvo type="max"/>
        <color rgb="FFFCFCFF"/>
        <color rgb="FFF8696B"/>
      </colorScale>
    </cfRule>
  </conditionalFormatting>
  <conditionalFormatting sqref="R327:R330">
    <cfRule type="colorScale" priority="453">
      <colorScale>
        <cfvo type="min"/>
        <cfvo type="max"/>
        <color rgb="FFFCFCFF"/>
        <color rgb="FFF8696B"/>
      </colorScale>
    </cfRule>
  </conditionalFormatting>
  <conditionalFormatting sqref="S327:S330">
    <cfRule type="colorScale" priority="452">
      <colorScale>
        <cfvo type="min"/>
        <cfvo type="max"/>
        <color rgb="FFFCFCFF"/>
        <color rgb="FFF8696B"/>
      </colorScale>
    </cfRule>
  </conditionalFormatting>
  <conditionalFormatting sqref="F331:F334">
    <cfRule type="colorScale" priority="451">
      <colorScale>
        <cfvo type="min"/>
        <cfvo type="max"/>
        <color rgb="FFFCFCFF"/>
        <color rgb="FFF8696B"/>
      </colorScale>
    </cfRule>
  </conditionalFormatting>
  <conditionalFormatting sqref="J331:J334">
    <cfRule type="colorScale" priority="450">
      <colorScale>
        <cfvo type="min"/>
        <cfvo type="max"/>
        <color rgb="FFFCFCFF"/>
        <color rgb="FFF8696B"/>
      </colorScale>
    </cfRule>
  </conditionalFormatting>
  <conditionalFormatting sqref="O331:O334">
    <cfRule type="colorScale" priority="449">
      <colorScale>
        <cfvo type="min"/>
        <cfvo type="max"/>
        <color rgb="FFFCFCFF"/>
        <color rgb="FFF8696B"/>
      </colorScale>
    </cfRule>
  </conditionalFormatting>
  <conditionalFormatting sqref="S331:S334">
    <cfRule type="colorScale" priority="448">
      <colorScale>
        <cfvo type="min"/>
        <cfvo type="max"/>
        <color rgb="FFFCFCFF"/>
        <color rgb="FFF8696B"/>
      </colorScale>
    </cfRule>
  </conditionalFormatting>
  <conditionalFormatting sqref="H335:H338">
    <cfRule type="colorScale" priority="447">
      <colorScale>
        <cfvo type="min"/>
        <cfvo type="max"/>
        <color rgb="FFFCFCFF"/>
        <color rgb="FFF8696B"/>
      </colorScale>
    </cfRule>
  </conditionalFormatting>
  <conditionalFormatting sqref="P335:P338">
    <cfRule type="colorScale" priority="446">
      <colorScale>
        <cfvo type="min"/>
        <cfvo type="max"/>
        <color rgb="FFFCFCFF"/>
        <color rgb="FFF8696B"/>
      </colorScale>
    </cfRule>
  </conditionalFormatting>
  <conditionalFormatting sqref="L335:L338">
    <cfRule type="colorScale" priority="445">
      <colorScale>
        <cfvo type="min"/>
        <cfvo type="max"/>
        <color rgb="FFFCFCFF"/>
        <color rgb="FFF8696B"/>
      </colorScale>
    </cfRule>
  </conditionalFormatting>
  <conditionalFormatting sqref="T335:U338">
    <cfRule type="colorScale" priority="444">
      <colorScale>
        <cfvo type="min"/>
        <cfvo type="max"/>
        <color rgb="FFFCFCFF"/>
        <color rgb="FFF8696B"/>
      </colorScale>
    </cfRule>
  </conditionalFormatting>
  <conditionalFormatting sqref="F342:F345">
    <cfRule type="colorScale" priority="443">
      <colorScale>
        <cfvo type="min"/>
        <cfvo type="max"/>
        <color rgb="FFFCFCFF"/>
        <color rgb="FFF8696B"/>
      </colorScale>
    </cfRule>
  </conditionalFormatting>
  <conditionalFormatting sqref="H346:H349">
    <cfRule type="colorScale" priority="442">
      <colorScale>
        <cfvo type="min"/>
        <cfvo type="max"/>
        <color rgb="FFFCFCFF"/>
        <color rgb="FFF8696B"/>
      </colorScale>
    </cfRule>
  </conditionalFormatting>
  <conditionalFormatting sqref="H350:H353">
    <cfRule type="colorScale" priority="441">
      <colorScale>
        <cfvo type="min"/>
        <cfvo type="max"/>
        <color rgb="FFFCFCFF"/>
        <color rgb="FFF8696B"/>
      </colorScale>
    </cfRule>
  </conditionalFormatting>
  <conditionalFormatting sqref="H358:H361">
    <cfRule type="colorScale" priority="440">
      <colorScale>
        <cfvo type="min"/>
        <cfvo type="max"/>
        <color rgb="FFFCFCFF"/>
        <color rgb="FFF8696B"/>
      </colorScale>
    </cfRule>
  </conditionalFormatting>
  <conditionalFormatting sqref="J342:J345">
    <cfRule type="colorScale" priority="439">
      <colorScale>
        <cfvo type="min"/>
        <cfvo type="max"/>
        <color rgb="FFFCFCFF"/>
        <color rgb="FFF8696B"/>
      </colorScale>
    </cfRule>
  </conditionalFormatting>
  <conditionalFormatting sqref="L346:L349">
    <cfRule type="colorScale" priority="438">
      <colorScale>
        <cfvo type="min"/>
        <cfvo type="max"/>
        <color rgb="FFFCFCFF"/>
        <color rgb="FFF8696B"/>
      </colorScale>
    </cfRule>
  </conditionalFormatting>
  <conditionalFormatting sqref="L350:L353">
    <cfRule type="colorScale" priority="437">
      <colorScale>
        <cfvo type="min"/>
        <cfvo type="max"/>
        <color rgb="FFFCFCFF"/>
        <color rgb="FFF8696B"/>
      </colorScale>
    </cfRule>
  </conditionalFormatting>
  <conditionalFormatting sqref="L358:L361">
    <cfRule type="colorScale" priority="436">
      <colorScale>
        <cfvo type="min"/>
        <cfvo type="max"/>
        <color rgb="FFFCFCFF"/>
        <color rgb="FFF8696B"/>
      </colorScale>
    </cfRule>
  </conditionalFormatting>
  <conditionalFormatting sqref="N342:N345">
    <cfRule type="colorScale" priority="435">
      <colorScale>
        <cfvo type="min"/>
        <cfvo type="max"/>
        <color rgb="FFFCFCFF"/>
        <color rgb="FFF8696B"/>
      </colorScale>
    </cfRule>
  </conditionalFormatting>
  <conditionalFormatting sqref="N350:N353">
    <cfRule type="colorScale" priority="434">
      <colorScale>
        <cfvo type="min"/>
        <cfvo type="max"/>
        <color rgb="FFFCFCFF"/>
        <color rgb="FFF8696B"/>
      </colorScale>
    </cfRule>
  </conditionalFormatting>
  <conditionalFormatting sqref="R342:R345">
    <cfRule type="colorScale" priority="433">
      <colorScale>
        <cfvo type="min"/>
        <cfvo type="max"/>
        <color rgb="FFFCFCFF"/>
        <color rgb="FFF8696B"/>
      </colorScale>
    </cfRule>
  </conditionalFormatting>
  <conditionalFormatting sqref="R350:R353">
    <cfRule type="colorScale" priority="432">
      <colorScale>
        <cfvo type="min"/>
        <cfvo type="max"/>
        <color rgb="FFFCFCFF"/>
        <color rgb="FFF8696B"/>
      </colorScale>
    </cfRule>
  </conditionalFormatting>
  <conditionalFormatting sqref="O354:O357">
    <cfRule type="colorScale" priority="431">
      <colorScale>
        <cfvo type="min"/>
        <cfvo type="max"/>
        <color rgb="FFFCFCFF"/>
        <color rgb="FFF8696B"/>
      </colorScale>
    </cfRule>
  </conditionalFormatting>
  <conditionalFormatting sqref="P354:P357">
    <cfRule type="colorScale" priority="430">
      <colorScale>
        <cfvo type="min"/>
        <cfvo type="max"/>
        <color rgb="FFFCFCFF"/>
        <color rgb="FFF8696B"/>
      </colorScale>
    </cfRule>
  </conditionalFormatting>
  <conditionalFormatting sqref="O358:O361">
    <cfRule type="colorScale" priority="429">
      <colorScale>
        <cfvo type="min"/>
        <cfvo type="max"/>
        <color rgb="FFFCFCFF"/>
        <color rgb="FFF8696B"/>
      </colorScale>
    </cfRule>
  </conditionalFormatting>
  <conditionalFormatting sqref="P358:P361">
    <cfRule type="colorScale" priority="428">
      <colorScale>
        <cfvo type="min"/>
        <cfvo type="max"/>
        <color rgb="FFFCFCFF"/>
        <color rgb="FFF8696B"/>
      </colorScale>
    </cfRule>
  </conditionalFormatting>
  <conditionalFormatting sqref="S354:S357">
    <cfRule type="colorScale" priority="427">
      <colorScale>
        <cfvo type="min"/>
        <cfvo type="max"/>
        <color rgb="FFFCFCFF"/>
        <color rgb="FFF8696B"/>
      </colorScale>
    </cfRule>
  </conditionalFormatting>
  <conditionalFormatting sqref="T354:U357">
    <cfRule type="colorScale" priority="426">
      <colorScale>
        <cfvo type="min"/>
        <cfvo type="max"/>
        <color rgb="FFFCFCFF"/>
        <color rgb="FFF8696B"/>
      </colorScale>
    </cfRule>
  </conditionalFormatting>
  <conditionalFormatting sqref="S358:S361">
    <cfRule type="colorScale" priority="425">
      <colorScale>
        <cfvo type="min"/>
        <cfvo type="max"/>
        <color rgb="FFFCFCFF"/>
        <color rgb="FFF8696B"/>
      </colorScale>
    </cfRule>
  </conditionalFormatting>
  <conditionalFormatting sqref="T358:U361">
    <cfRule type="colorScale" priority="424">
      <colorScale>
        <cfvo type="min"/>
        <cfvo type="max"/>
        <color rgb="FFFCFCFF"/>
        <color rgb="FFF8696B"/>
      </colorScale>
    </cfRule>
  </conditionalFormatting>
  <conditionalFormatting sqref="H363:H366">
    <cfRule type="colorScale" priority="423">
      <colorScale>
        <cfvo type="min"/>
        <cfvo type="max"/>
        <color rgb="FFFCFCFF"/>
        <color rgb="FFF8696B"/>
      </colorScale>
    </cfRule>
  </conditionalFormatting>
  <conditionalFormatting sqref="L363:L366">
    <cfRule type="colorScale" priority="422">
      <colorScale>
        <cfvo type="min"/>
        <cfvo type="max"/>
        <color rgb="FFFCFCFF"/>
        <color rgb="FFF8696B"/>
      </colorScale>
    </cfRule>
  </conditionalFormatting>
  <conditionalFormatting sqref="F367:F370">
    <cfRule type="colorScale" priority="421">
      <colorScale>
        <cfvo type="min"/>
        <cfvo type="max"/>
        <color rgb="FFFCFCFF"/>
        <color rgb="FFF8696B"/>
      </colorScale>
    </cfRule>
  </conditionalFormatting>
  <conditionalFormatting sqref="G367:G370">
    <cfRule type="colorScale" priority="420">
      <colorScale>
        <cfvo type="min"/>
        <cfvo type="max"/>
        <color rgb="FFFCFCFF"/>
        <color rgb="FFF8696B"/>
      </colorScale>
    </cfRule>
  </conditionalFormatting>
  <conditionalFormatting sqref="H367:H370">
    <cfRule type="colorScale" priority="419">
      <colorScale>
        <cfvo type="min"/>
        <cfvo type="max"/>
        <color rgb="FFFCFCFF"/>
        <color rgb="FFF8696B"/>
      </colorScale>
    </cfRule>
  </conditionalFormatting>
  <conditionalFormatting sqref="F371:F374">
    <cfRule type="colorScale" priority="418">
      <colorScale>
        <cfvo type="min"/>
        <cfvo type="max"/>
        <color rgb="FFFCFCFF"/>
        <color rgb="FFF8696B"/>
      </colorScale>
    </cfRule>
  </conditionalFormatting>
  <conditionalFormatting sqref="G371:G374">
    <cfRule type="colorScale" priority="417">
      <colorScale>
        <cfvo type="min"/>
        <cfvo type="max"/>
        <color rgb="FFFCFCFF"/>
        <color rgb="FFF8696B"/>
      </colorScale>
    </cfRule>
  </conditionalFormatting>
  <conditionalFormatting sqref="H371:H374">
    <cfRule type="colorScale" priority="416">
      <colorScale>
        <cfvo type="min"/>
        <cfvo type="max"/>
        <color rgb="FFFCFCFF"/>
        <color rgb="FFF8696B"/>
      </colorScale>
    </cfRule>
  </conditionalFormatting>
  <conditionalFormatting sqref="J367:J370">
    <cfRule type="colorScale" priority="415">
      <colorScale>
        <cfvo type="min"/>
        <cfvo type="max"/>
        <color rgb="FFFCFCFF"/>
        <color rgb="FFF8696B"/>
      </colorScale>
    </cfRule>
  </conditionalFormatting>
  <conditionalFormatting sqref="K367:K370">
    <cfRule type="colorScale" priority="414">
      <colorScale>
        <cfvo type="min"/>
        <cfvo type="max"/>
        <color rgb="FFFCFCFF"/>
        <color rgb="FFF8696B"/>
      </colorScale>
    </cfRule>
  </conditionalFormatting>
  <conditionalFormatting sqref="L367:L370">
    <cfRule type="colorScale" priority="413">
      <colorScale>
        <cfvo type="min"/>
        <cfvo type="max"/>
        <color rgb="FFFCFCFF"/>
        <color rgb="FFF8696B"/>
      </colorScale>
    </cfRule>
  </conditionalFormatting>
  <conditionalFormatting sqref="J371:J374">
    <cfRule type="colorScale" priority="412">
      <colorScale>
        <cfvo type="min"/>
        <cfvo type="max"/>
        <color rgb="FFFCFCFF"/>
        <color rgb="FFF8696B"/>
      </colorScale>
    </cfRule>
  </conditionalFormatting>
  <conditionalFormatting sqref="K371:K374">
    <cfRule type="colorScale" priority="411">
      <colorScale>
        <cfvo type="min"/>
        <cfvo type="max"/>
        <color rgb="FFFCFCFF"/>
        <color rgb="FFF8696B"/>
      </colorScale>
    </cfRule>
  </conditionalFormatting>
  <conditionalFormatting sqref="L371:L374">
    <cfRule type="colorScale" priority="410">
      <colorScale>
        <cfvo type="min"/>
        <cfvo type="max"/>
        <color rgb="FFFCFCFF"/>
        <color rgb="FFF8696B"/>
      </colorScale>
    </cfRule>
  </conditionalFormatting>
  <conditionalFormatting sqref="N363:N366">
    <cfRule type="colorScale" priority="409">
      <colorScale>
        <cfvo type="min"/>
        <cfvo type="max"/>
        <color rgb="FFFCFCFF"/>
        <color rgb="FFF8696B"/>
      </colorScale>
    </cfRule>
  </conditionalFormatting>
  <conditionalFormatting sqref="P363:P366">
    <cfRule type="colorScale" priority="408">
      <colorScale>
        <cfvo type="min"/>
        <cfvo type="max"/>
        <color rgb="FFFCFCFF"/>
        <color rgb="FFF8696B"/>
      </colorScale>
    </cfRule>
  </conditionalFormatting>
  <conditionalFormatting sqref="O367:O370">
    <cfRule type="colorScale" priority="407">
      <colorScale>
        <cfvo type="min"/>
        <cfvo type="max"/>
        <color rgb="FFFCFCFF"/>
        <color rgb="FFF8696B"/>
      </colorScale>
    </cfRule>
  </conditionalFormatting>
  <conditionalFormatting sqref="N371:N374">
    <cfRule type="colorScale" priority="406">
      <colorScale>
        <cfvo type="min"/>
        <cfvo type="max"/>
        <color rgb="FFFCFCFF"/>
        <color rgb="FFF8696B"/>
      </colorScale>
    </cfRule>
  </conditionalFormatting>
  <conditionalFormatting sqref="O371:O374">
    <cfRule type="colorScale" priority="405">
      <colorScale>
        <cfvo type="min"/>
        <cfvo type="max"/>
        <color rgb="FFFCFCFF"/>
        <color rgb="FFF8696B"/>
      </colorScale>
    </cfRule>
  </conditionalFormatting>
  <conditionalFormatting sqref="P367:P370">
    <cfRule type="colorScale" priority="404">
      <colorScale>
        <cfvo type="min"/>
        <cfvo type="max"/>
        <color rgb="FFFCFCFF"/>
        <color rgb="FFF8696B"/>
      </colorScale>
    </cfRule>
  </conditionalFormatting>
  <conditionalFormatting sqref="P371:P374">
    <cfRule type="colorScale" priority="403">
      <colorScale>
        <cfvo type="min"/>
        <cfvo type="max"/>
        <color rgb="FFFCFCFF"/>
        <color rgb="FFF8696B"/>
      </colorScale>
    </cfRule>
  </conditionalFormatting>
  <conditionalFormatting sqref="R363:R366">
    <cfRule type="colorScale" priority="402">
      <colorScale>
        <cfvo type="min"/>
        <cfvo type="max"/>
        <color rgb="FFFCFCFF"/>
        <color rgb="FFF8696B"/>
      </colorScale>
    </cfRule>
  </conditionalFormatting>
  <conditionalFormatting sqref="T363:U366">
    <cfRule type="colorScale" priority="401">
      <colorScale>
        <cfvo type="min"/>
        <cfvo type="max"/>
        <color rgb="FFFCFCFF"/>
        <color rgb="FFF8696B"/>
      </colorScale>
    </cfRule>
  </conditionalFormatting>
  <conditionalFormatting sqref="S367:S370">
    <cfRule type="colorScale" priority="400">
      <colorScale>
        <cfvo type="min"/>
        <cfvo type="max"/>
        <color rgb="FFFCFCFF"/>
        <color rgb="FFF8696B"/>
      </colorScale>
    </cfRule>
  </conditionalFormatting>
  <conditionalFormatting sqref="T367:U370">
    <cfRule type="colorScale" priority="399">
      <colorScale>
        <cfvo type="min"/>
        <cfvo type="max"/>
        <color rgb="FFFCFCFF"/>
        <color rgb="FFF8696B"/>
      </colorScale>
    </cfRule>
  </conditionalFormatting>
  <conditionalFormatting sqref="R371:R374">
    <cfRule type="colorScale" priority="398">
      <colorScale>
        <cfvo type="min"/>
        <cfvo type="max"/>
        <color rgb="FFFCFCFF"/>
        <color rgb="FFF8696B"/>
      </colorScale>
    </cfRule>
  </conditionalFormatting>
  <conditionalFormatting sqref="S371:S374">
    <cfRule type="colorScale" priority="397">
      <colorScale>
        <cfvo type="min"/>
        <cfvo type="max"/>
        <color rgb="FFFCFCFF"/>
        <color rgb="FFF8696B"/>
      </colorScale>
    </cfRule>
  </conditionalFormatting>
  <conditionalFormatting sqref="T371:U374">
    <cfRule type="colorScale" priority="396">
      <colorScale>
        <cfvo type="min"/>
        <cfvo type="max"/>
        <color rgb="FFFCFCFF"/>
        <color rgb="FFF8696B"/>
      </colorScale>
    </cfRule>
  </conditionalFormatting>
  <conditionalFormatting sqref="G377:G380">
    <cfRule type="colorScale" priority="395">
      <colorScale>
        <cfvo type="min"/>
        <cfvo type="max"/>
        <color rgb="FFFCFCFF"/>
        <color rgb="FFF8696B"/>
      </colorScale>
    </cfRule>
  </conditionalFormatting>
  <conditionalFormatting sqref="H377:H380">
    <cfRule type="colorScale" priority="394">
      <colorScale>
        <cfvo type="min"/>
        <cfvo type="max"/>
        <color rgb="FFFCFCFF"/>
        <color rgb="FFF8696B"/>
      </colorScale>
    </cfRule>
  </conditionalFormatting>
  <conditionalFormatting sqref="G381:G384">
    <cfRule type="colorScale" priority="393">
      <colorScale>
        <cfvo type="min"/>
        <cfvo type="max"/>
        <color rgb="FFFCFCFF"/>
        <color rgb="FFF8696B"/>
      </colorScale>
    </cfRule>
  </conditionalFormatting>
  <conditionalFormatting sqref="K377:K380">
    <cfRule type="colorScale" priority="392">
      <colorScale>
        <cfvo type="min"/>
        <cfvo type="max"/>
        <color rgb="FFFCFCFF"/>
        <color rgb="FFF8696B"/>
      </colorScale>
    </cfRule>
  </conditionalFormatting>
  <conditionalFormatting sqref="L377:L380">
    <cfRule type="colorScale" priority="391">
      <colorScale>
        <cfvo type="min"/>
        <cfvo type="max"/>
        <color rgb="FFFCFCFF"/>
        <color rgb="FFF8696B"/>
      </colorScale>
    </cfRule>
  </conditionalFormatting>
  <conditionalFormatting sqref="K381:K384">
    <cfRule type="colorScale" priority="390">
      <colorScale>
        <cfvo type="min"/>
        <cfvo type="max"/>
        <color rgb="FFFCFCFF"/>
        <color rgb="FFF8696B"/>
      </colorScale>
    </cfRule>
  </conditionalFormatting>
  <conditionalFormatting sqref="O377:O380">
    <cfRule type="colorScale" priority="389">
      <colorScale>
        <cfvo type="min"/>
        <cfvo type="max"/>
        <color rgb="FFFCFCFF"/>
        <color rgb="FFF8696B"/>
      </colorScale>
    </cfRule>
  </conditionalFormatting>
  <conditionalFormatting sqref="P377:P380">
    <cfRule type="colorScale" priority="388">
      <colorScale>
        <cfvo type="min"/>
        <cfvo type="max"/>
        <color rgb="FFFCFCFF"/>
        <color rgb="FFF8696B"/>
      </colorScale>
    </cfRule>
  </conditionalFormatting>
  <conditionalFormatting sqref="N381:N384">
    <cfRule type="colorScale" priority="387">
      <colorScale>
        <cfvo type="min"/>
        <cfvo type="max"/>
        <color rgb="FFFCFCFF"/>
        <color rgb="FFF8696B"/>
      </colorScale>
    </cfRule>
  </conditionalFormatting>
  <conditionalFormatting sqref="S377:S380">
    <cfRule type="colorScale" priority="386">
      <colorScale>
        <cfvo type="min"/>
        <cfvo type="max"/>
        <color rgb="FFFCFCFF"/>
        <color rgb="FFF8696B"/>
      </colorScale>
    </cfRule>
  </conditionalFormatting>
  <conditionalFormatting sqref="T377:U380">
    <cfRule type="colorScale" priority="385">
      <colorScale>
        <cfvo type="min"/>
        <cfvo type="max"/>
        <color rgb="FFFCFCFF"/>
        <color rgb="FFF8696B"/>
      </colorScale>
    </cfRule>
  </conditionalFormatting>
  <conditionalFormatting sqref="R381:R384">
    <cfRule type="colorScale" priority="384">
      <colorScale>
        <cfvo type="min"/>
        <cfvo type="max"/>
        <color rgb="FFFCFCFF"/>
        <color rgb="FFF8696B"/>
      </colorScale>
    </cfRule>
  </conditionalFormatting>
  <conditionalFormatting sqref="F388:F391">
    <cfRule type="colorScale" priority="383">
      <colorScale>
        <cfvo type="min"/>
        <cfvo type="max"/>
        <color rgb="FFFCFCFF"/>
        <color rgb="FFF8696B"/>
      </colorScale>
    </cfRule>
  </conditionalFormatting>
  <conditionalFormatting sqref="G388:G391">
    <cfRule type="colorScale" priority="382">
      <colorScale>
        <cfvo type="min"/>
        <cfvo type="max"/>
        <color rgb="FFFCFCFF"/>
        <color rgb="FFF8696B"/>
      </colorScale>
    </cfRule>
  </conditionalFormatting>
  <conditionalFormatting sqref="H388:H391">
    <cfRule type="colorScale" priority="381">
      <colorScale>
        <cfvo type="min"/>
        <cfvo type="max"/>
        <color rgb="FFFCFCFF"/>
        <color rgb="FFF8696B"/>
      </colorScale>
    </cfRule>
  </conditionalFormatting>
  <conditionalFormatting sqref="F392:F395">
    <cfRule type="colorScale" priority="380">
      <colorScale>
        <cfvo type="min"/>
        <cfvo type="max"/>
        <color rgb="FFFCFCFF"/>
        <color rgb="FFF8696B"/>
      </colorScale>
    </cfRule>
  </conditionalFormatting>
  <conditionalFormatting sqref="G392:G395">
    <cfRule type="colorScale" priority="379">
      <colorScale>
        <cfvo type="min"/>
        <cfvo type="max"/>
        <color rgb="FFFCFCFF"/>
        <color rgb="FFF8696B"/>
      </colorScale>
    </cfRule>
  </conditionalFormatting>
  <conditionalFormatting sqref="H392:H395">
    <cfRule type="colorScale" priority="378">
      <colorScale>
        <cfvo type="min"/>
        <cfvo type="max"/>
        <color rgb="FFFCFCFF"/>
        <color rgb="FFF8696B"/>
      </colorScale>
    </cfRule>
  </conditionalFormatting>
  <conditionalFormatting sqref="F396:F399">
    <cfRule type="colorScale" priority="377">
      <colorScale>
        <cfvo type="min"/>
        <cfvo type="max"/>
        <color rgb="FFFCFCFF"/>
        <color rgb="FFF8696B"/>
      </colorScale>
    </cfRule>
  </conditionalFormatting>
  <conditionalFormatting sqref="H396:H399">
    <cfRule type="colorScale" priority="376">
      <colorScale>
        <cfvo type="min"/>
        <cfvo type="max"/>
        <color rgb="FFFCFCFF"/>
        <color rgb="FFF8696B"/>
      </colorScale>
    </cfRule>
  </conditionalFormatting>
  <conditionalFormatting sqref="J388:J391">
    <cfRule type="colorScale" priority="375">
      <colorScale>
        <cfvo type="min"/>
        <cfvo type="max"/>
        <color rgb="FFFCFCFF"/>
        <color rgb="FFF8696B"/>
      </colorScale>
    </cfRule>
  </conditionalFormatting>
  <conditionalFormatting sqref="K388:K391">
    <cfRule type="colorScale" priority="374">
      <colorScale>
        <cfvo type="min"/>
        <cfvo type="max"/>
        <color rgb="FFFCFCFF"/>
        <color rgb="FFF8696B"/>
      </colorScale>
    </cfRule>
  </conditionalFormatting>
  <conditionalFormatting sqref="L388:L391">
    <cfRule type="colorScale" priority="373">
      <colorScale>
        <cfvo type="min"/>
        <cfvo type="max"/>
        <color rgb="FFFCFCFF"/>
        <color rgb="FFF8696B"/>
      </colorScale>
    </cfRule>
  </conditionalFormatting>
  <conditionalFormatting sqref="J392:J395">
    <cfRule type="colorScale" priority="372">
      <colorScale>
        <cfvo type="min"/>
        <cfvo type="max"/>
        <color rgb="FFFCFCFF"/>
        <color rgb="FFF8696B"/>
      </colorScale>
    </cfRule>
  </conditionalFormatting>
  <conditionalFormatting sqref="K392:K395">
    <cfRule type="colorScale" priority="371">
      <colorScale>
        <cfvo type="min"/>
        <cfvo type="max"/>
        <color rgb="FFFCFCFF"/>
        <color rgb="FFF8696B"/>
      </colorScale>
    </cfRule>
  </conditionalFormatting>
  <conditionalFormatting sqref="L392:L395">
    <cfRule type="colorScale" priority="370">
      <colorScale>
        <cfvo type="min"/>
        <cfvo type="max"/>
        <color rgb="FFFCFCFF"/>
        <color rgb="FFF8696B"/>
      </colorScale>
    </cfRule>
  </conditionalFormatting>
  <conditionalFormatting sqref="J396:J399">
    <cfRule type="colorScale" priority="369">
      <colorScale>
        <cfvo type="min"/>
        <cfvo type="max"/>
        <color rgb="FFFCFCFF"/>
        <color rgb="FFF8696B"/>
      </colorScale>
    </cfRule>
  </conditionalFormatting>
  <conditionalFormatting sqref="L396:L399">
    <cfRule type="colorScale" priority="368">
      <colorScale>
        <cfvo type="min"/>
        <cfvo type="max"/>
        <color rgb="FFFCFCFF"/>
        <color rgb="FFF8696B"/>
      </colorScale>
    </cfRule>
  </conditionalFormatting>
  <conditionalFormatting sqref="N388:N391">
    <cfRule type="colorScale" priority="367">
      <colorScale>
        <cfvo type="min"/>
        <cfvo type="max"/>
        <color rgb="FFFCFCFF"/>
        <color rgb="FFF8696B"/>
      </colorScale>
    </cfRule>
  </conditionalFormatting>
  <conditionalFormatting sqref="O388:O391">
    <cfRule type="colorScale" priority="366">
      <colorScale>
        <cfvo type="min"/>
        <cfvo type="max"/>
        <color rgb="FFFCFCFF"/>
        <color rgb="FFF8696B"/>
      </colorScale>
    </cfRule>
  </conditionalFormatting>
  <conditionalFormatting sqref="P388:P391">
    <cfRule type="colorScale" priority="365">
      <colorScale>
        <cfvo type="min"/>
        <cfvo type="max"/>
        <color rgb="FFFCFCFF"/>
        <color rgb="FFF8696B"/>
      </colorScale>
    </cfRule>
  </conditionalFormatting>
  <conditionalFormatting sqref="R388:R391">
    <cfRule type="colorScale" priority="364">
      <colorScale>
        <cfvo type="min"/>
        <cfvo type="max"/>
        <color rgb="FFFCFCFF"/>
        <color rgb="FFF8696B"/>
      </colorScale>
    </cfRule>
  </conditionalFormatting>
  <conditionalFormatting sqref="S388:S391">
    <cfRule type="colorScale" priority="363">
      <colorScale>
        <cfvo type="min"/>
        <cfvo type="max"/>
        <color rgb="FFFCFCFF"/>
        <color rgb="FFF8696B"/>
      </colorScale>
    </cfRule>
  </conditionalFormatting>
  <conditionalFormatting sqref="T388:U391">
    <cfRule type="colorScale" priority="362">
      <colorScale>
        <cfvo type="min"/>
        <cfvo type="max"/>
        <color rgb="FFFCFCFF"/>
        <color rgb="FFF8696B"/>
      </colorScale>
    </cfRule>
  </conditionalFormatting>
  <conditionalFormatting sqref="O392:O395">
    <cfRule type="colorScale" priority="361">
      <colorScale>
        <cfvo type="min"/>
        <cfvo type="max"/>
        <color rgb="FFFCFCFF"/>
        <color rgb="FFF8696B"/>
      </colorScale>
    </cfRule>
  </conditionalFormatting>
  <conditionalFormatting sqref="P392:P395">
    <cfRule type="colorScale" priority="360">
      <colorScale>
        <cfvo type="min"/>
        <cfvo type="max"/>
        <color rgb="FFFCFCFF"/>
        <color rgb="FFF8696B"/>
      </colorScale>
    </cfRule>
  </conditionalFormatting>
  <conditionalFormatting sqref="S392:S395">
    <cfRule type="colorScale" priority="359">
      <colorScale>
        <cfvo type="min"/>
        <cfvo type="max"/>
        <color rgb="FFFCFCFF"/>
        <color rgb="FFF8696B"/>
      </colorScale>
    </cfRule>
  </conditionalFormatting>
  <conditionalFormatting sqref="T392:U395">
    <cfRule type="colorScale" priority="358">
      <colorScale>
        <cfvo type="min"/>
        <cfvo type="max"/>
        <color rgb="FFFCFCFF"/>
        <color rgb="FFF8696B"/>
      </colorScale>
    </cfRule>
  </conditionalFormatting>
  <conditionalFormatting sqref="W5:W8">
    <cfRule type="colorScale" priority="357">
      <colorScale>
        <cfvo type="min"/>
        <cfvo type="max"/>
        <color rgb="FFFCFCFF"/>
        <color rgb="FF63BE7B"/>
      </colorScale>
    </cfRule>
  </conditionalFormatting>
  <conditionalFormatting sqref="X5:X8">
    <cfRule type="colorScale" priority="356">
      <colorScale>
        <cfvo type="min"/>
        <cfvo type="max"/>
        <color rgb="FFFCFCFF"/>
        <color rgb="FF63BE7B"/>
      </colorScale>
    </cfRule>
  </conditionalFormatting>
  <conditionalFormatting sqref="Y5:Y8">
    <cfRule type="colorScale" priority="355">
      <colorScale>
        <cfvo type="min"/>
        <cfvo type="max"/>
        <color rgb="FFFCFCFF"/>
        <color rgb="FF63BE7B"/>
      </colorScale>
    </cfRule>
  </conditionalFormatting>
  <conditionalFormatting sqref="AA5:AA8">
    <cfRule type="colorScale" priority="354">
      <colorScale>
        <cfvo type="min"/>
        <cfvo type="max"/>
        <color rgb="FFFCFCFF"/>
        <color rgb="FF63BE7B"/>
      </colorScale>
    </cfRule>
  </conditionalFormatting>
  <conditionalFormatting sqref="AB5:AB8">
    <cfRule type="colorScale" priority="353">
      <colorScale>
        <cfvo type="min"/>
        <cfvo type="max"/>
        <color rgb="FFFCFCFF"/>
        <color rgb="FF63BE7B"/>
      </colorScale>
    </cfRule>
  </conditionalFormatting>
  <conditionalFormatting sqref="AC5:AC8">
    <cfRule type="colorScale" priority="352">
      <colorScale>
        <cfvo type="min"/>
        <cfvo type="max"/>
        <color rgb="FFFCFCFF"/>
        <color rgb="FF63BE7B"/>
      </colorScale>
    </cfRule>
  </conditionalFormatting>
  <conditionalFormatting sqref="W9:W12">
    <cfRule type="colorScale" priority="351">
      <colorScale>
        <cfvo type="min"/>
        <cfvo type="max"/>
        <color rgb="FFFCFCFF"/>
        <color rgb="FF63BE7B"/>
      </colorScale>
    </cfRule>
  </conditionalFormatting>
  <conditionalFormatting sqref="X9:X12">
    <cfRule type="colorScale" priority="350">
      <colorScale>
        <cfvo type="min"/>
        <cfvo type="max"/>
        <color rgb="FFFCFCFF"/>
        <color rgb="FF63BE7B"/>
      </colorScale>
    </cfRule>
  </conditionalFormatting>
  <conditionalFormatting sqref="Y9:Y12">
    <cfRule type="colorScale" priority="349">
      <colorScale>
        <cfvo type="min"/>
        <cfvo type="max"/>
        <color rgb="FFFCFCFF"/>
        <color rgb="FF63BE7B"/>
      </colorScale>
    </cfRule>
  </conditionalFormatting>
  <conditionalFormatting sqref="AA9:AA12">
    <cfRule type="colorScale" priority="348">
      <colorScale>
        <cfvo type="min"/>
        <cfvo type="max"/>
        <color rgb="FFFCFCFF"/>
        <color rgb="FF63BE7B"/>
      </colorScale>
    </cfRule>
  </conditionalFormatting>
  <conditionalFormatting sqref="AB9:AB12">
    <cfRule type="colorScale" priority="347">
      <colorScale>
        <cfvo type="min"/>
        <cfvo type="max"/>
        <color rgb="FFFCFCFF"/>
        <color rgb="FF63BE7B"/>
      </colorScale>
    </cfRule>
  </conditionalFormatting>
  <conditionalFormatting sqref="AC9:AC12">
    <cfRule type="colorScale" priority="346">
      <colorScale>
        <cfvo type="min"/>
        <cfvo type="max"/>
        <color rgb="FFFCFCFF"/>
        <color rgb="FF63BE7B"/>
      </colorScale>
    </cfRule>
  </conditionalFormatting>
  <conditionalFormatting sqref="W13:W16">
    <cfRule type="colorScale" priority="345">
      <colorScale>
        <cfvo type="min"/>
        <cfvo type="max"/>
        <color rgb="FFFCFCFF"/>
        <color rgb="FF63BE7B"/>
      </colorScale>
    </cfRule>
  </conditionalFormatting>
  <conditionalFormatting sqref="X13:X16">
    <cfRule type="colorScale" priority="344">
      <colorScale>
        <cfvo type="min"/>
        <cfvo type="max"/>
        <color rgb="FFFCFCFF"/>
        <color rgb="FF63BE7B"/>
      </colorScale>
    </cfRule>
  </conditionalFormatting>
  <conditionalFormatting sqref="Y13:Y16">
    <cfRule type="colorScale" priority="343">
      <colorScale>
        <cfvo type="min"/>
        <cfvo type="max"/>
        <color rgb="FFFCFCFF"/>
        <color rgb="FF63BE7B"/>
      </colorScale>
    </cfRule>
  </conditionalFormatting>
  <conditionalFormatting sqref="AA13:AA16">
    <cfRule type="colorScale" priority="342">
      <colorScale>
        <cfvo type="min"/>
        <cfvo type="max"/>
        <color rgb="FFFCFCFF"/>
        <color rgb="FF63BE7B"/>
      </colorScale>
    </cfRule>
  </conditionalFormatting>
  <conditionalFormatting sqref="AB13:AB16">
    <cfRule type="colorScale" priority="341">
      <colorScale>
        <cfvo type="min"/>
        <cfvo type="max"/>
        <color rgb="FFFCFCFF"/>
        <color rgb="FF63BE7B"/>
      </colorScale>
    </cfRule>
  </conditionalFormatting>
  <conditionalFormatting sqref="AC13:AC16">
    <cfRule type="colorScale" priority="340">
      <colorScale>
        <cfvo type="min"/>
        <cfvo type="max"/>
        <color rgb="FFFCFCFF"/>
        <color rgb="FF63BE7B"/>
      </colorScale>
    </cfRule>
  </conditionalFormatting>
  <conditionalFormatting sqref="W17:W20">
    <cfRule type="colorScale" priority="339">
      <colorScale>
        <cfvo type="min"/>
        <cfvo type="max"/>
        <color rgb="FFFCFCFF"/>
        <color rgb="FF63BE7B"/>
      </colorScale>
    </cfRule>
  </conditionalFormatting>
  <conditionalFormatting sqref="X17:X20">
    <cfRule type="colorScale" priority="338">
      <colorScale>
        <cfvo type="min"/>
        <cfvo type="max"/>
        <color rgb="FFFCFCFF"/>
        <color rgb="FF63BE7B"/>
      </colorScale>
    </cfRule>
  </conditionalFormatting>
  <conditionalFormatting sqref="Y17:Y20">
    <cfRule type="colorScale" priority="337">
      <colorScale>
        <cfvo type="min"/>
        <cfvo type="max"/>
        <color rgb="FFFCFCFF"/>
        <color rgb="FF63BE7B"/>
      </colorScale>
    </cfRule>
  </conditionalFormatting>
  <conditionalFormatting sqref="AA17:AA20">
    <cfRule type="colorScale" priority="336">
      <colorScale>
        <cfvo type="min"/>
        <cfvo type="max"/>
        <color rgb="FFFCFCFF"/>
        <color rgb="FF63BE7B"/>
      </colorScale>
    </cfRule>
  </conditionalFormatting>
  <conditionalFormatting sqref="AB17:AB20">
    <cfRule type="colorScale" priority="335">
      <colorScale>
        <cfvo type="min"/>
        <cfvo type="max"/>
        <color rgb="FFFCFCFF"/>
        <color rgb="FF63BE7B"/>
      </colorScale>
    </cfRule>
  </conditionalFormatting>
  <conditionalFormatting sqref="AC17:AC20">
    <cfRule type="colorScale" priority="334">
      <colorScale>
        <cfvo type="min"/>
        <cfvo type="max"/>
        <color rgb="FFFCFCFF"/>
        <color rgb="FF63BE7B"/>
      </colorScale>
    </cfRule>
  </conditionalFormatting>
  <conditionalFormatting sqref="W21:W24">
    <cfRule type="colorScale" priority="333">
      <colorScale>
        <cfvo type="min"/>
        <cfvo type="max"/>
        <color rgb="FFFCFCFF"/>
        <color rgb="FF63BE7B"/>
      </colorScale>
    </cfRule>
  </conditionalFormatting>
  <conditionalFormatting sqref="X21:X24">
    <cfRule type="colorScale" priority="332">
      <colorScale>
        <cfvo type="min"/>
        <cfvo type="max"/>
        <color rgb="FFFCFCFF"/>
        <color rgb="FF63BE7B"/>
      </colorScale>
    </cfRule>
  </conditionalFormatting>
  <conditionalFormatting sqref="Y21:Y24">
    <cfRule type="colorScale" priority="331">
      <colorScale>
        <cfvo type="min"/>
        <cfvo type="max"/>
        <color rgb="FFFCFCFF"/>
        <color rgb="FF63BE7B"/>
      </colorScale>
    </cfRule>
  </conditionalFormatting>
  <conditionalFormatting sqref="AA21:AA24">
    <cfRule type="colorScale" priority="330">
      <colorScale>
        <cfvo type="min"/>
        <cfvo type="max"/>
        <color rgb="FFFCFCFF"/>
        <color rgb="FF63BE7B"/>
      </colorScale>
    </cfRule>
  </conditionalFormatting>
  <conditionalFormatting sqref="AB21:AB24">
    <cfRule type="colorScale" priority="329">
      <colorScale>
        <cfvo type="min"/>
        <cfvo type="max"/>
        <color rgb="FFFCFCFF"/>
        <color rgb="FF63BE7B"/>
      </colorScale>
    </cfRule>
  </conditionalFormatting>
  <conditionalFormatting sqref="AC21:AC24">
    <cfRule type="colorScale" priority="328">
      <colorScale>
        <cfvo type="min"/>
        <cfvo type="max"/>
        <color rgb="FFFCFCFF"/>
        <color rgb="FF63BE7B"/>
      </colorScale>
    </cfRule>
  </conditionalFormatting>
  <conditionalFormatting sqref="X29:X32">
    <cfRule type="colorScale" priority="327">
      <colorScale>
        <cfvo type="min"/>
        <cfvo type="max"/>
        <color rgb="FFFCFCFF"/>
        <color rgb="FF63BE7B"/>
      </colorScale>
    </cfRule>
  </conditionalFormatting>
  <conditionalFormatting sqref="Y29:Y32">
    <cfRule type="colorScale" priority="326">
      <colorScale>
        <cfvo type="min"/>
        <cfvo type="max"/>
        <color rgb="FFFCFCFF"/>
        <color rgb="FF63BE7B"/>
      </colorScale>
    </cfRule>
  </conditionalFormatting>
  <conditionalFormatting sqref="AA29:AA32">
    <cfRule type="colorScale" priority="325">
      <colorScale>
        <cfvo type="min"/>
        <cfvo type="max"/>
        <color rgb="FFFCFCFF"/>
        <color rgb="FF63BE7B"/>
      </colorScale>
    </cfRule>
  </conditionalFormatting>
  <conditionalFormatting sqref="AC29:AC32">
    <cfRule type="colorScale" priority="324">
      <colorScale>
        <cfvo type="min"/>
        <cfvo type="max"/>
        <color rgb="FFFCFCFF"/>
        <color rgb="FF63BE7B"/>
      </colorScale>
    </cfRule>
  </conditionalFormatting>
  <conditionalFormatting sqref="W33:W36">
    <cfRule type="colorScale" priority="323">
      <colorScale>
        <cfvo type="min"/>
        <cfvo type="max"/>
        <color rgb="FFFCFCFF"/>
        <color rgb="FF63BE7B"/>
      </colorScale>
    </cfRule>
  </conditionalFormatting>
  <conditionalFormatting sqref="Y33:Y36">
    <cfRule type="colorScale" priority="322">
      <colorScale>
        <cfvo type="min"/>
        <cfvo type="max"/>
        <color rgb="FFFCFCFF"/>
        <color rgb="FF63BE7B"/>
      </colorScale>
    </cfRule>
  </conditionalFormatting>
  <conditionalFormatting sqref="AC33:AC36">
    <cfRule type="colorScale" priority="321">
      <colorScale>
        <cfvo type="min"/>
        <cfvo type="max"/>
        <color rgb="FFFCFCFF"/>
        <color rgb="FF63BE7B"/>
      </colorScale>
    </cfRule>
  </conditionalFormatting>
  <conditionalFormatting sqref="Y37:Y40">
    <cfRule type="colorScale" priority="320">
      <colorScale>
        <cfvo type="min"/>
        <cfvo type="max"/>
        <color rgb="FFFCFCFF"/>
        <color rgb="FF63BE7B"/>
      </colorScale>
    </cfRule>
  </conditionalFormatting>
  <conditionalFormatting sqref="AB37:AB40">
    <cfRule type="colorScale" priority="319">
      <colorScale>
        <cfvo type="min"/>
        <cfvo type="max"/>
        <color rgb="FFFCFCFF"/>
        <color rgb="FF63BE7B"/>
      </colorScale>
    </cfRule>
  </conditionalFormatting>
  <conditionalFormatting sqref="AC37:AC40">
    <cfRule type="colorScale" priority="318">
      <colorScale>
        <cfvo type="min"/>
        <cfvo type="max"/>
        <color rgb="FFFCFCFF"/>
        <color rgb="FF63BE7B"/>
      </colorScale>
    </cfRule>
  </conditionalFormatting>
  <conditionalFormatting sqref="AB41:AB44">
    <cfRule type="colorScale" priority="317">
      <colorScale>
        <cfvo type="min"/>
        <cfvo type="max"/>
        <color rgb="FFFCFCFF"/>
        <color rgb="FF63BE7B"/>
      </colorScale>
    </cfRule>
  </conditionalFormatting>
  <conditionalFormatting sqref="AB45:AB48">
    <cfRule type="colorScale" priority="316">
      <colorScale>
        <cfvo type="min"/>
        <cfvo type="max"/>
        <color rgb="FFFCFCFF"/>
        <color rgb="FF63BE7B"/>
      </colorScale>
    </cfRule>
  </conditionalFormatting>
  <conditionalFormatting sqref="AC45:AC48">
    <cfRule type="colorScale" priority="315">
      <colorScale>
        <cfvo type="min"/>
        <cfvo type="max"/>
        <color rgb="FFFCFCFF"/>
        <color rgb="FF63BE7B"/>
      </colorScale>
    </cfRule>
  </conditionalFormatting>
  <conditionalFormatting sqref="AC49:AC52">
    <cfRule type="colorScale" priority="314">
      <colorScale>
        <cfvo type="min"/>
        <cfvo type="max"/>
        <color rgb="FFFCFCFF"/>
        <color rgb="FF63BE7B"/>
      </colorScale>
    </cfRule>
  </conditionalFormatting>
  <conditionalFormatting sqref="W53:W56">
    <cfRule type="colorScale" priority="313">
      <colorScale>
        <cfvo type="min"/>
        <cfvo type="max"/>
        <color rgb="FFFCFCFF"/>
        <color rgb="FF63BE7B"/>
      </colorScale>
    </cfRule>
  </conditionalFormatting>
  <conditionalFormatting sqref="X53:X56">
    <cfRule type="colorScale" priority="312">
      <colorScale>
        <cfvo type="min"/>
        <cfvo type="max"/>
        <color rgb="FFFCFCFF"/>
        <color rgb="FF63BE7B"/>
      </colorScale>
    </cfRule>
  </conditionalFormatting>
  <conditionalFormatting sqref="Y53:Y56">
    <cfRule type="colorScale" priority="311">
      <colorScale>
        <cfvo type="min"/>
        <cfvo type="max"/>
        <color rgb="FFFCFCFF"/>
        <color rgb="FF63BE7B"/>
      </colorScale>
    </cfRule>
  </conditionalFormatting>
  <conditionalFormatting sqref="AA53:AA56">
    <cfRule type="colorScale" priority="310">
      <colorScale>
        <cfvo type="min"/>
        <cfvo type="max"/>
        <color rgb="FFFCFCFF"/>
        <color rgb="FF63BE7B"/>
      </colorScale>
    </cfRule>
  </conditionalFormatting>
  <conditionalFormatting sqref="AB53:AB56">
    <cfRule type="colorScale" priority="309">
      <colorScale>
        <cfvo type="min"/>
        <cfvo type="max"/>
        <color rgb="FFFCFCFF"/>
        <color rgb="FF63BE7B"/>
      </colorScale>
    </cfRule>
  </conditionalFormatting>
  <conditionalFormatting sqref="AC53:AC56">
    <cfRule type="colorScale" priority="308">
      <colorScale>
        <cfvo type="min"/>
        <cfvo type="max"/>
        <color rgb="FFFCFCFF"/>
        <color rgb="FF63BE7B"/>
      </colorScale>
    </cfRule>
  </conditionalFormatting>
  <conditionalFormatting sqref="Y61:Y64">
    <cfRule type="colorScale" priority="307">
      <colorScale>
        <cfvo type="min"/>
        <cfvo type="max"/>
        <color rgb="FFFCFCFF"/>
        <color rgb="FF63BE7B"/>
      </colorScale>
    </cfRule>
  </conditionalFormatting>
  <conditionalFormatting sqref="AC57:AC60">
    <cfRule type="colorScale" priority="306">
      <colorScale>
        <cfvo type="min"/>
        <cfvo type="max"/>
        <color rgb="FFFCFCFF"/>
        <color rgb="FF63BE7B"/>
      </colorScale>
    </cfRule>
  </conditionalFormatting>
  <conditionalFormatting sqref="AA61:AA64">
    <cfRule type="colorScale" priority="305">
      <colorScale>
        <cfvo type="min"/>
        <cfvo type="max"/>
        <color rgb="FFFCFCFF"/>
        <color rgb="FF63BE7B"/>
      </colorScale>
    </cfRule>
  </conditionalFormatting>
  <conditionalFormatting sqref="X70:X73">
    <cfRule type="colorScale" priority="304">
      <colorScale>
        <cfvo type="min"/>
        <cfvo type="max"/>
        <color rgb="FFFCFCFF"/>
        <color rgb="FF63BE7B"/>
      </colorScale>
    </cfRule>
  </conditionalFormatting>
  <conditionalFormatting sqref="W74:W77">
    <cfRule type="colorScale" priority="303">
      <colorScale>
        <cfvo type="min"/>
        <cfvo type="max"/>
        <color rgb="FFFCFCFF"/>
        <color rgb="FF63BE7B"/>
      </colorScale>
    </cfRule>
  </conditionalFormatting>
  <conditionalFormatting sqref="X74:X77">
    <cfRule type="colorScale" priority="302">
      <colorScale>
        <cfvo type="min"/>
        <cfvo type="max"/>
        <color rgb="FFFCFCFF"/>
        <color rgb="FF63BE7B"/>
      </colorScale>
    </cfRule>
  </conditionalFormatting>
  <conditionalFormatting sqref="Y74:Y77">
    <cfRule type="colorScale" priority="301">
      <colorScale>
        <cfvo type="min"/>
        <cfvo type="max"/>
        <color rgb="FFFCFCFF"/>
        <color rgb="FF63BE7B"/>
      </colorScale>
    </cfRule>
  </conditionalFormatting>
  <conditionalFormatting sqref="AA74:AA77">
    <cfRule type="colorScale" priority="300">
      <colorScale>
        <cfvo type="min"/>
        <cfvo type="max"/>
        <color rgb="FFFCFCFF"/>
        <color rgb="FF63BE7B"/>
      </colorScale>
    </cfRule>
  </conditionalFormatting>
  <conditionalFormatting sqref="AB74:AB77">
    <cfRule type="colorScale" priority="299">
      <colorScale>
        <cfvo type="min"/>
        <cfvo type="max"/>
        <color rgb="FFFCFCFF"/>
        <color rgb="FF63BE7B"/>
      </colorScale>
    </cfRule>
  </conditionalFormatting>
  <conditionalFormatting sqref="AC74:AC77">
    <cfRule type="colorScale" priority="298">
      <colorScale>
        <cfvo type="min"/>
        <cfvo type="max"/>
        <color rgb="FFFCFCFF"/>
        <color rgb="FF63BE7B"/>
      </colorScale>
    </cfRule>
  </conditionalFormatting>
  <conditionalFormatting sqref="W79:W82">
    <cfRule type="colorScale" priority="297">
      <colorScale>
        <cfvo type="min"/>
        <cfvo type="max"/>
        <color rgb="FFFCFCFF"/>
        <color rgb="FF63BE7B"/>
      </colorScale>
    </cfRule>
  </conditionalFormatting>
  <conditionalFormatting sqref="X79:X82">
    <cfRule type="colorScale" priority="296">
      <colorScale>
        <cfvo type="min"/>
        <cfvo type="max"/>
        <color rgb="FFFCFCFF"/>
        <color rgb="FF63BE7B"/>
      </colorScale>
    </cfRule>
  </conditionalFormatting>
  <conditionalFormatting sqref="Y79:Y82">
    <cfRule type="colorScale" priority="295">
      <colorScale>
        <cfvo type="min"/>
        <cfvo type="max"/>
        <color rgb="FFFCFCFF"/>
        <color rgb="FF63BE7B"/>
      </colorScale>
    </cfRule>
  </conditionalFormatting>
  <conditionalFormatting sqref="AA79:AA82">
    <cfRule type="colorScale" priority="294">
      <colorScale>
        <cfvo type="min"/>
        <cfvo type="max"/>
        <color rgb="FFFCFCFF"/>
        <color rgb="FF63BE7B"/>
      </colorScale>
    </cfRule>
  </conditionalFormatting>
  <conditionalFormatting sqref="AB79:AB82">
    <cfRule type="colorScale" priority="293">
      <colorScale>
        <cfvo type="min"/>
        <cfvo type="max"/>
        <color rgb="FFFCFCFF"/>
        <color rgb="FF63BE7B"/>
      </colorScale>
    </cfRule>
  </conditionalFormatting>
  <conditionalFormatting sqref="AC79:AC82">
    <cfRule type="colorScale" priority="292">
      <colorScale>
        <cfvo type="min"/>
        <cfvo type="max"/>
        <color rgb="FFFCFCFF"/>
        <color rgb="FF63BE7B"/>
      </colorScale>
    </cfRule>
  </conditionalFormatting>
  <conditionalFormatting sqref="X83:X86">
    <cfRule type="colorScale" priority="291">
      <colorScale>
        <cfvo type="min"/>
        <cfvo type="max"/>
        <color rgb="FFFCFCFF"/>
        <color rgb="FF63BE7B"/>
      </colorScale>
    </cfRule>
  </conditionalFormatting>
  <conditionalFormatting sqref="Y83:Y86">
    <cfRule type="colorScale" priority="290">
      <colorScale>
        <cfvo type="min"/>
        <cfvo type="max"/>
        <color rgb="FFFCFCFF"/>
        <color rgb="FF63BE7B"/>
      </colorScale>
    </cfRule>
  </conditionalFormatting>
  <conditionalFormatting sqref="AB83:AB86">
    <cfRule type="colorScale" priority="289">
      <colorScale>
        <cfvo type="min"/>
        <cfvo type="max"/>
        <color rgb="FFFCFCFF"/>
        <color rgb="FF63BE7B"/>
      </colorScale>
    </cfRule>
  </conditionalFormatting>
  <conditionalFormatting sqref="W87:W90">
    <cfRule type="colorScale" priority="288">
      <colorScale>
        <cfvo type="min"/>
        <cfvo type="max"/>
        <color rgb="FFFCFCFF"/>
        <color rgb="FF63BE7B"/>
      </colorScale>
    </cfRule>
  </conditionalFormatting>
  <conditionalFormatting sqref="X87:X90">
    <cfRule type="colorScale" priority="287">
      <colorScale>
        <cfvo type="min"/>
        <cfvo type="max"/>
        <color rgb="FFFCFCFF"/>
        <color rgb="FF63BE7B"/>
      </colorScale>
    </cfRule>
  </conditionalFormatting>
  <conditionalFormatting sqref="Y87:Y90">
    <cfRule type="colorScale" priority="286">
      <colorScale>
        <cfvo type="min"/>
        <cfvo type="max"/>
        <color rgb="FFFCFCFF"/>
        <color rgb="FF63BE7B"/>
      </colorScale>
    </cfRule>
  </conditionalFormatting>
  <conditionalFormatting sqref="AA87:AA90">
    <cfRule type="colorScale" priority="285">
      <colorScale>
        <cfvo type="min"/>
        <cfvo type="max"/>
        <color rgb="FFFCFCFF"/>
        <color rgb="FF63BE7B"/>
      </colorScale>
    </cfRule>
  </conditionalFormatting>
  <conditionalFormatting sqref="AB87:AB90">
    <cfRule type="colorScale" priority="284">
      <colorScale>
        <cfvo type="min"/>
        <cfvo type="max"/>
        <color rgb="FFFCFCFF"/>
        <color rgb="FF63BE7B"/>
      </colorScale>
    </cfRule>
  </conditionalFormatting>
  <conditionalFormatting sqref="AC87:AC90">
    <cfRule type="colorScale" priority="283">
      <colorScale>
        <cfvo type="min"/>
        <cfvo type="max"/>
        <color rgb="FFFCFCFF"/>
        <color rgb="FF63BE7B"/>
      </colorScale>
    </cfRule>
  </conditionalFormatting>
  <conditionalFormatting sqref="W93:W96">
    <cfRule type="colorScale" priority="282">
      <colorScale>
        <cfvo type="min"/>
        <cfvo type="max"/>
        <color rgb="FFFCFCFF"/>
        <color rgb="FF63BE7B"/>
      </colorScale>
    </cfRule>
  </conditionalFormatting>
  <conditionalFormatting sqref="Y93:Y96">
    <cfRule type="colorScale" priority="281">
      <colorScale>
        <cfvo type="min"/>
        <cfvo type="max"/>
        <color rgb="FFFCFCFF"/>
        <color rgb="FF63BE7B"/>
      </colorScale>
    </cfRule>
  </conditionalFormatting>
  <conditionalFormatting sqref="AA93:AA96">
    <cfRule type="colorScale" priority="280">
      <colorScale>
        <cfvo type="min"/>
        <cfvo type="max"/>
        <color rgb="FFFCFCFF"/>
        <color rgb="FF63BE7B"/>
      </colorScale>
    </cfRule>
  </conditionalFormatting>
  <conditionalFormatting sqref="AB93:AB96">
    <cfRule type="colorScale" priority="279">
      <colorScale>
        <cfvo type="min"/>
        <cfvo type="max"/>
        <color rgb="FFFCFCFF"/>
        <color rgb="FF63BE7B"/>
      </colorScale>
    </cfRule>
  </conditionalFormatting>
  <conditionalFormatting sqref="W97:W100">
    <cfRule type="colorScale" priority="278">
      <colorScale>
        <cfvo type="min"/>
        <cfvo type="max"/>
        <color rgb="FFFCFCFF"/>
        <color rgb="FF63BE7B"/>
      </colorScale>
    </cfRule>
  </conditionalFormatting>
  <conditionalFormatting sqref="X97:X100">
    <cfRule type="colorScale" priority="277">
      <colorScale>
        <cfvo type="min"/>
        <cfvo type="max"/>
        <color rgb="FFFCFCFF"/>
        <color rgb="FF63BE7B"/>
      </colorScale>
    </cfRule>
  </conditionalFormatting>
  <conditionalFormatting sqref="Y97:Y100">
    <cfRule type="colorScale" priority="276">
      <colorScale>
        <cfvo type="min"/>
        <cfvo type="max"/>
        <color rgb="FFFCFCFF"/>
        <color rgb="FF63BE7B"/>
      </colorScale>
    </cfRule>
  </conditionalFormatting>
  <conditionalFormatting sqref="AA97:AA100">
    <cfRule type="colorScale" priority="275">
      <colorScale>
        <cfvo type="min"/>
        <cfvo type="max"/>
        <color rgb="FFFCFCFF"/>
        <color rgb="FF63BE7B"/>
      </colorScale>
    </cfRule>
  </conditionalFormatting>
  <conditionalFormatting sqref="AB97:AB100">
    <cfRule type="colorScale" priority="274">
      <colorScale>
        <cfvo type="min"/>
        <cfvo type="max"/>
        <color rgb="FFFCFCFF"/>
        <color rgb="FF63BE7B"/>
      </colorScale>
    </cfRule>
  </conditionalFormatting>
  <conditionalFormatting sqref="AC97:AC100">
    <cfRule type="colorScale" priority="273">
      <colorScale>
        <cfvo type="min"/>
        <cfvo type="max"/>
        <color rgb="FFFCFCFF"/>
        <color rgb="FF63BE7B"/>
      </colorScale>
    </cfRule>
  </conditionalFormatting>
  <conditionalFormatting sqref="W101:W104">
    <cfRule type="colorScale" priority="272">
      <colorScale>
        <cfvo type="min"/>
        <cfvo type="max"/>
        <color rgb="FFFCFCFF"/>
        <color rgb="FF63BE7B"/>
      </colorScale>
    </cfRule>
  </conditionalFormatting>
  <conditionalFormatting sqref="X101:X104">
    <cfRule type="colorScale" priority="271">
      <colorScale>
        <cfvo type="min"/>
        <cfvo type="max"/>
        <color rgb="FFFCFCFF"/>
        <color rgb="FF63BE7B"/>
      </colorScale>
    </cfRule>
  </conditionalFormatting>
  <conditionalFormatting sqref="Y101:Y104">
    <cfRule type="colorScale" priority="270">
      <colorScale>
        <cfvo type="min"/>
        <cfvo type="max"/>
        <color rgb="FFFCFCFF"/>
        <color rgb="FF63BE7B"/>
      </colorScale>
    </cfRule>
  </conditionalFormatting>
  <conditionalFormatting sqref="AA101:AA104">
    <cfRule type="colorScale" priority="269">
      <colorScale>
        <cfvo type="min"/>
        <cfvo type="max"/>
        <color rgb="FFFCFCFF"/>
        <color rgb="FF63BE7B"/>
      </colorScale>
    </cfRule>
  </conditionalFormatting>
  <conditionalFormatting sqref="AB101:AB104">
    <cfRule type="colorScale" priority="268">
      <colorScale>
        <cfvo type="min"/>
        <cfvo type="max"/>
        <color rgb="FFFCFCFF"/>
        <color rgb="FF63BE7B"/>
      </colorScale>
    </cfRule>
  </conditionalFormatting>
  <conditionalFormatting sqref="AC101:AC104">
    <cfRule type="colorScale" priority="267">
      <colorScale>
        <cfvo type="min"/>
        <cfvo type="max"/>
        <color rgb="FFFCFCFF"/>
        <color rgb="FF63BE7B"/>
      </colorScale>
    </cfRule>
  </conditionalFormatting>
  <conditionalFormatting sqref="W105:W108">
    <cfRule type="colorScale" priority="266">
      <colorScale>
        <cfvo type="min"/>
        <cfvo type="max"/>
        <color rgb="FFFCFCFF"/>
        <color rgb="FF63BE7B"/>
      </colorScale>
    </cfRule>
  </conditionalFormatting>
  <conditionalFormatting sqref="X105:X108">
    <cfRule type="colorScale" priority="265">
      <colorScale>
        <cfvo type="min"/>
        <cfvo type="max"/>
        <color rgb="FFFCFCFF"/>
        <color rgb="FF63BE7B"/>
      </colorScale>
    </cfRule>
  </conditionalFormatting>
  <conditionalFormatting sqref="Y105:Y108">
    <cfRule type="colorScale" priority="264">
      <colorScale>
        <cfvo type="min"/>
        <cfvo type="max"/>
        <color rgb="FFFCFCFF"/>
        <color rgb="FF63BE7B"/>
      </colorScale>
    </cfRule>
  </conditionalFormatting>
  <conditionalFormatting sqref="AA105:AA108">
    <cfRule type="colorScale" priority="263">
      <colorScale>
        <cfvo type="min"/>
        <cfvo type="max"/>
        <color rgb="FFFCFCFF"/>
        <color rgb="FF63BE7B"/>
      </colorScale>
    </cfRule>
  </conditionalFormatting>
  <conditionalFormatting sqref="AB105:AB108">
    <cfRule type="colorScale" priority="262">
      <colorScale>
        <cfvo type="min"/>
        <cfvo type="max"/>
        <color rgb="FFFCFCFF"/>
        <color rgb="FF63BE7B"/>
      </colorScale>
    </cfRule>
  </conditionalFormatting>
  <conditionalFormatting sqref="AC105:AC108">
    <cfRule type="colorScale" priority="261">
      <colorScale>
        <cfvo type="min"/>
        <cfvo type="max"/>
        <color rgb="FFFCFCFF"/>
        <color rgb="FF63BE7B"/>
      </colorScale>
    </cfRule>
  </conditionalFormatting>
  <conditionalFormatting sqref="Y109:Y112">
    <cfRule type="colorScale" priority="260">
      <colorScale>
        <cfvo type="min"/>
        <cfvo type="max"/>
        <color rgb="FFFCFCFF"/>
        <color rgb="FF63BE7B"/>
      </colorScale>
    </cfRule>
  </conditionalFormatting>
  <conditionalFormatting sqref="W113:W116">
    <cfRule type="colorScale" priority="259">
      <colorScale>
        <cfvo type="min"/>
        <cfvo type="max"/>
        <color rgb="FFFCFCFF"/>
        <color rgb="FF63BE7B"/>
      </colorScale>
    </cfRule>
  </conditionalFormatting>
  <conditionalFormatting sqref="X113:X116">
    <cfRule type="colorScale" priority="258">
      <colorScale>
        <cfvo type="min"/>
        <cfvo type="max"/>
        <color rgb="FFFCFCFF"/>
        <color rgb="FF63BE7B"/>
      </colorScale>
    </cfRule>
  </conditionalFormatting>
  <conditionalFormatting sqref="Y113:Y116">
    <cfRule type="colorScale" priority="257">
      <colorScale>
        <cfvo type="min"/>
        <cfvo type="max"/>
        <color rgb="FFFCFCFF"/>
        <color rgb="FF63BE7B"/>
      </colorScale>
    </cfRule>
  </conditionalFormatting>
  <conditionalFormatting sqref="AB113:AB116">
    <cfRule type="colorScale" priority="256">
      <colorScale>
        <cfvo type="min"/>
        <cfvo type="max"/>
        <color rgb="FFFCFCFF"/>
        <color rgb="FF63BE7B"/>
      </colorScale>
    </cfRule>
  </conditionalFormatting>
  <conditionalFormatting sqref="AC113:AC116">
    <cfRule type="colorScale" priority="255">
      <colorScale>
        <cfvo type="min"/>
        <cfvo type="max"/>
        <color rgb="FFFCFCFF"/>
        <color rgb="FF63BE7B"/>
      </colorScale>
    </cfRule>
  </conditionalFormatting>
  <conditionalFormatting sqref="X117:X120">
    <cfRule type="colorScale" priority="254">
      <colorScale>
        <cfvo type="min"/>
        <cfvo type="max"/>
        <color rgb="FFFCFCFF"/>
        <color rgb="FF63BE7B"/>
      </colorScale>
    </cfRule>
  </conditionalFormatting>
  <conditionalFormatting sqref="AA117:AA120">
    <cfRule type="colorScale" priority="253">
      <colorScale>
        <cfvo type="min"/>
        <cfvo type="max"/>
        <color rgb="FFFCFCFF"/>
        <color rgb="FF63BE7B"/>
      </colorScale>
    </cfRule>
  </conditionalFormatting>
  <conditionalFormatting sqref="AC117:AC120">
    <cfRule type="colorScale" priority="252">
      <colorScale>
        <cfvo type="min"/>
        <cfvo type="max"/>
        <color rgb="FFFCFCFF"/>
        <color rgb="FF63BE7B"/>
      </colorScale>
    </cfRule>
  </conditionalFormatting>
  <conditionalFormatting sqref="W124:W127">
    <cfRule type="colorScale" priority="251">
      <colorScale>
        <cfvo type="min"/>
        <cfvo type="max"/>
        <color rgb="FFFCFCFF"/>
        <color rgb="FF63BE7B"/>
      </colorScale>
    </cfRule>
  </conditionalFormatting>
  <conditionalFormatting sqref="X124:X127">
    <cfRule type="colorScale" priority="250">
      <colorScale>
        <cfvo type="min"/>
        <cfvo type="max"/>
        <color rgb="FFFCFCFF"/>
        <color rgb="FF63BE7B"/>
      </colorScale>
    </cfRule>
  </conditionalFormatting>
  <conditionalFormatting sqref="Y124:Y127">
    <cfRule type="colorScale" priority="249">
      <colorScale>
        <cfvo type="min"/>
        <cfvo type="max"/>
        <color rgb="FFFCFCFF"/>
        <color rgb="FF63BE7B"/>
      </colorScale>
    </cfRule>
  </conditionalFormatting>
  <conditionalFormatting sqref="AA124:AA127">
    <cfRule type="colorScale" priority="248">
      <colorScale>
        <cfvo type="min"/>
        <cfvo type="max"/>
        <color rgb="FFFCFCFF"/>
        <color rgb="FF63BE7B"/>
      </colorScale>
    </cfRule>
  </conditionalFormatting>
  <conditionalFormatting sqref="AB124:AB127">
    <cfRule type="colorScale" priority="247">
      <colorScale>
        <cfvo type="min"/>
        <cfvo type="max"/>
        <color rgb="FFFCFCFF"/>
        <color rgb="FF63BE7B"/>
      </colorScale>
    </cfRule>
  </conditionalFormatting>
  <conditionalFormatting sqref="AC124:AC127">
    <cfRule type="colorScale" priority="246">
      <colorScale>
        <cfvo type="min"/>
        <cfvo type="max"/>
        <color rgb="FFFCFCFF"/>
        <color rgb="FF63BE7B"/>
      </colorScale>
    </cfRule>
  </conditionalFormatting>
  <conditionalFormatting sqref="W128:W131">
    <cfRule type="colorScale" priority="245">
      <colorScale>
        <cfvo type="min"/>
        <cfvo type="max"/>
        <color rgb="FFFCFCFF"/>
        <color rgb="FF63BE7B"/>
      </colorScale>
    </cfRule>
  </conditionalFormatting>
  <conditionalFormatting sqref="X128:X131">
    <cfRule type="colorScale" priority="244">
      <colorScale>
        <cfvo type="min"/>
        <cfvo type="max"/>
        <color rgb="FFFCFCFF"/>
        <color rgb="FF63BE7B"/>
      </colorScale>
    </cfRule>
  </conditionalFormatting>
  <conditionalFormatting sqref="Y128:Y131">
    <cfRule type="colorScale" priority="243">
      <colorScale>
        <cfvo type="min"/>
        <cfvo type="max"/>
        <color rgb="FFFCFCFF"/>
        <color rgb="FF63BE7B"/>
      </colorScale>
    </cfRule>
  </conditionalFormatting>
  <conditionalFormatting sqref="AA128:AA131">
    <cfRule type="colorScale" priority="242">
      <colorScale>
        <cfvo type="min"/>
        <cfvo type="max"/>
        <color rgb="FFFCFCFF"/>
        <color rgb="FF63BE7B"/>
      </colorScale>
    </cfRule>
  </conditionalFormatting>
  <conditionalFormatting sqref="AB128:AB131">
    <cfRule type="colorScale" priority="241">
      <colorScale>
        <cfvo type="min"/>
        <cfvo type="max"/>
        <color rgb="FFFCFCFF"/>
        <color rgb="FF63BE7B"/>
      </colorScale>
    </cfRule>
  </conditionalFormatting>
  <conditionalFormatting sqref="AC128:AC131">
    <cfRule type="colorScale" priority="240">
      <colorScale>
        <cfvo type="min"/>
        <cfvo type="max"/>
        <color rgb="FFFCFCFF"/>
        <color rgb="FF63BE7B"/>
      </colorScale>
    </cfRule>
  </conditionalFormatting>
  <conditionalFormatting sqref="W134:W137">
    <cfRule type="colorScale" priority="239">
      <colorScale>
        <cfvo type="min"/>
        <cfvo type="max"/>
        <color rgb="FFFCFCFF"/>
        <color rgb="FF63BE7B"/>
      </colorScale>
    </cfRule>
  </conditionalFormatting>
  <conditionalFormatting sqref="X134:X137">
    <cfRule type="colorScale" priority="238">
      <colorScale>
        <cfvo type="min"/>
        <cfvo type="max"/>
        <color rgb="FFFCFCFF"/>
        <color rgb="FF63BE7B"/>
      </colorScale>
    </cfRule>
  </conditionalFormatting>
  <conditionalFormatting sqref="Y134:Y137">
    <cfRule type="colorScale" priority="237">
      <colorScale>
        <cfvo type="min"/>
        <cfvo type="max"/>
        <color rgb="FFFCFCFF"/>
        <color rgb="FF63BE7B"/>
      </colorScale>
    </cfRule>
  </conditionalFormatting>
  <conditionalFormatting sqref="AA134:AA137">
    <cfRule type="colorScale" priority="236">
      <colorScale>
        <cfvo type="min"/>
        <cfvo type="max"/>
        <color rgb="FFFCFCFF"/>
        <color rgb="FF63BE7B"/>
      </colorScale>
    </cfRule>
  </conditionalFormatting>
  <conditionalFormatting sqref="AB134:AB137">
    <cfRule type="colorScale" priority="235">
      <colorScale>
        <cfvo type="min"/>
        <cfvo type="max"/>
        <color rgb="FFFCFCFF"/>
        <color rgb="FF63BE7B"/>
      </colorScale>
    </cfRule>
  </conditionalFormatting>
  <conditionalFormatting sqref="AC134:AC137">
    <cfRule type="colorScale" priority="234">
      <colorScale>
        <cfvo type="min"/>
        <cfvo type="max"/>
        <color rgb="FFFCFCFF"/>
        <color rgb="FF63BE7B"/>
      </colorScale>
    </cfRule>
  </conditionalFormatting>
  <conditionalFormatting sqref="W138:W141">
    <cfRule type="colorScale" priority="233">
      <colorScale>
        <cfvo type="min"/>
        <cfvo type="max"/>
        <color rgb="FFFCFCFF"/>
        <color rgb="FF63BE7B"/>
      </colorScale>
    </cfRule>
  </conditionalFormatting>
  <conditionalFormatting sqref="X138:X141">
    <cfRule type="colorScale" priority="232">
      <colorScale>
        <cfvo type="min"/>
        <cfvo type="max"/>
        <color rgb="FFFCFCFF"/>
        <color rgb="FF63BE7B"/>
      </colorScale>
    </cfRule>
  </conditionalFormatting>
  <conditionalFormatting sqref="Y138:Y141">
    <cfRule type="colorScale" priority="231">
      <colorScale>
        <cfvo type="min"/>
        <cfvo type="max"/>
        <color rgb="FFFCFCFF"/>
        <color rgb="FF63BE7B"/>
      </colorScale>
    </cfRule>
  </conditionalFormatting>
  <conditionalFormatting sqref="AA138:AA141">
    <cfRule type="colorScale" priority="230">
      <colorScale>
        <cfvo type="min"/>
        <cfvo type="max"/>
        <color rgb="FFFCFCFF"/>
        <color rgb="FF63BE7B"/>
      </colorScale>
    </cfRule>
  </conditionalFormatting>
  <conditionalFormatting sqref="AB138:AB141">
    <cfRule type="colorScale" priority="229">
      <colorScale>
        <cfvo type="min"/>
        <cfvo type="max"/>
        <color rgb="FFFCFCFF"/>
        <color rgb="FF63BE7B"/>
      </colorScale>
    </cfRule>
  </conditionalFormatting>
  <conditionalFormatting sqref="AC138:AC141">
    <cfRule type="colorScale" priority="228">
      <colorScale>
        <cfvo type="min"/>
        <cfvo type="max"/>
        <color rgb="FFFCFCFF"/>
        <color rgb="FF63BE7B"/>
      </colorScale>
    </cfRule>
  </conditionalFormatting>
  <conditionalFormatting sqref="W142:W145">
    <cfRule type="colorScale" priority="227">
      <colorScale>
        <cfvo type="min"/>
        <cfvo type="max"/>
        <color rgb="FFFCFCFF"/>
        <color rgb="FF63BE7B"/>
      </colorScale>
    </cfRule>
  </conditionalFormatting>
  <conditionalFormatting sqref="X142:X145">
    <cfRule type="colorScale" priority="226">
      <colorScale>
        <cfvo type="min"/>
        <cfvo type="max"/>
        <color rgb="FFFCFCFF"/>
        <color rgb="FF63BE7B"/>
      </colorScale>
    </cfRule>
  </conditionalFormatting>
  <conditionalFormatting sqref="Y142:Y145">
    <cfRule type="colorScale" priority="225">
      <colorScale>
        <cfvo type="min"/>
        <cfvo type="max"/>
        <color rgb="FFFCFCFF"/>
        <color rgb="FF63BE7B"/>
      </colorScale>
    </cfRule>
  </conditionalFormatting>
  <conditionalFormatting sqref="AA142:AA145">
    <cfRule type="colorScale" priority="224">
      <colorScale>
        <cfvo type="min"/>
        <cfvo type="max"/>
        <color rgb="FFFCFCFF"/>
        <color rgb="FF63BE7B"/>
      </colorScale>
    </cfRule>
  </conditionalFormatting>
  <conditionalFormatting sqref="AB142:AB145">
    <cfRule type="colorScale" priority="223">
      <colorScale>
        <cfvo type="min"/>
        <cfvo type="max"/>
        <color rgb="FFFCFCFF"/>
        <color rgb="FF63BE7B"/>
      </colorScale>
    </cfRule>
  </conditionalFormatting>
  <conditionalFormatting sqref="AC142:AC145">
    <cfRule type="colorScale" priority="222">
      <colorScale>
        <cfvo type="min"/>
        <cfvo type="max"/>
        <color rgb="FFFCFCFF"/>
        <color rgb="FF63BE7B"/>
      </colorScale>
    </cfRule>
  </conditionalFormatting>
  <conditionalFormatting sqref="W146:W149">
    <cfRule type="colorScale" priority="221">
      <colorScale>
        <cfvo type="min"/>
        <cfvo type="max"/>
        <color rgb="FFFCFCFF"/>
        <color rgb="FF63BE7B"/>
      </colorScale>
    </cfRule>
  </conditionalFormatting>
  <conditionalFormatting sqref="X146:X149">
    <cfRule type="colorScale" priority="220">
      <colorScale>
        <cfvo type="min"/>
        <cfvo type="max"/>
        <color rgb="FFFCFCFF"/>
        <color rgb="FF63BE7B"/>
      </colorScale>
    </cfRule>
  </conditionalFormatting>
  <conditionalFormatting sqref="Y146:Y149">
    <cfRule type="colorScale" priority="219">
      <colorScale>
        <cfvo type="min"/>
        <cfvo type="max"/>
        <color rgb="FFFCFCFF"/>
        <color rgb="FF63BE7B"/>
      </colorScale>
    </cfRule>
  </conditionalFormatting>
  <conditionalFormatting sqref="AA146:AA149">
    <cfRule type="colorScale" priority="218">
      <colorScale>
        <cfvo type="min"/>
        <cfvo type="max"/>
        <color rgb="FFFCFCFF"/>
        <color rgb="FF63BE7B"/>
      </colorScale>
    </cfRule>
  </conditionalFormatting>
  <conditionalFormatting sqref="AB146:AB149">
    <cfRule type="colorScale" priority="217">
      <colorScale>
        <cfvo type="min"/>
        <cfvo type="max"/>
        <color rgb="FFFCFCFF"/>
        <color rgb="FF63BE7B"/>
      </colorScale>
    </cfRule>
  </conditionalFormatting>
  <conditionalFormatting sqref="AC146:AC149">
    <cfRule type="colorScale" priority="216">
      <colorScale>
        <cfvo type="min"/>
        <cfvo type="max"/>
        <color rgb="FFFCFCFF"/>
        <color rgb="FF63BE7B"/>
      </colorScale>
    </cfRule>
  </conditionalFormatting>
  <conditionalFormatting sqref="W150:W153">
    <cfRule type="colorScale" priority="215">
      <colorScale>
        <cfvo type="min"/>
        <cfvo type="max"/>
        <color rgb="FFFCFCFF"/>
        <color rgb="FF63BE7B"/>
      </colorScale>
    </cfRule>
  </conditionalFormatting>
  <conditionalFormatting sqref="AA150:AA153">
    <cfRule type="colorScale" priority="214">
      <colorScale>
        <cfvo type="min"/>
        <cfvo type="max"/>
        <color rgb="FFFCFCFF"/>
        <color rgb="FF63BE7B"/>
      </colorScale>
    </cfRule>
  </conditionalFormatting>
  <conditionalFormatting sqref="W154:W157">
    <cfRule type="colorScale" priority="213">
      <colorScale>
        <cfvo type="min"/>
        <cfvo type="max"/>
        <color rgb="FFFCFCFF"/>
        <color rgb="FF63BE7B"/>
      </colorScale>
    </cfRule>
  </conditionalFormatting>
  <conditionalFormatting sqref="X154:X157">
    <cfRule type="colorScale" priority="212">
      <colorScale>
        <cfvo type="min"/>
        <cfvo type="max"/>
        <color rgb="FFFCFCFF"/>
        <color rgb="FF63BE7B"/>
      </colorScale>
    </cfRule>
  </conditionalFormatting>
  <conditionalFormatting sqref="Y154:Y157">
    <cfRule type="colorScale" priority="211">
      <colorScale>
        <cfvo type="min"/>
        <cfvo type="max"/>
        <color rgb="FFFCFCFF"/>
        <color rgb="FF63BE7B"/>
      </colorScale>
    </cfRule>
  </conditionalFormatting>
  <conditionalFormatting sqref="AA154:AA157">
    <cfRule type="colorScale" priority="210">
      <colorScale>
        <cfvo type="min"/>
        <cfvo type="max"/>
        <color rgb="FFFCFCFF"/>
        <color rgb="FF63BE7B"/>
      </colorScale>
    </cfRule>
  </conditionalFormatting>
  <conditionalFormatting sqref="AB154:AB157">
    <cfRule type="colorScale" priority="209">
      <colorScale>
        <cfvo type="min"/>
        <cfvo type="max"/>
        <color rgb="FFFCFCFF"/>
        <color rgb="FF63BE7B"/>
      </colorScale>
    </cfRule>
  </conditionalFormatting>
  <conditionalFormatting sqref="AC154:AC157">
    <cfRule type="colorScale" priority="208">
      <colorScale>
        <cfvo type="min"/>
        <cfvo type="max"/>
        <color rgb="FFFCFCFF"/>
        <color rgb="FF63BE7B"/>
      </colorScale>
    </cfRule>
  </conditionalFormatting>
  <conditionalFormatting sqref="X158:X161">
    <cfRule type="colorScale" priority="207">
      <colorScale>
        <cfvo type="min"/>
        <cfvo type="max"/>
        <color rgb="FFFCFCFF"/>
        <color rgb="FF63BE7B"/>
      </colorScale>
    </cfRule>
  </conditionalFormatting>
  <conditionalFormatting sqref="AA158:AA161">
    <cfRule type="colorScale" priority="206">
      <colorScale>
        <cfvo type="min"/>
        <cfvo type="max"/>
        <color rgb="FFFCFCFF"/>
        <color rgb="FF63BE7B"/>
      </colorScale>
    </cfRule>
  </conditionalFormatting>
  <conditionalFormatting sqref="AB158:AB161">
    <cfRule type="colorScale" priority="205">
      <colorScale>
        <cfvo type="min"/>
        <cfvo type="max"/>
        <color rgb="FFFCFCFF"/>
        <color rgb="FF63BE7B"/>
      </colorScale>
    </cfRule>
  </conditionalFormatting>
  <conditionalFormatting sqref="AA162:AA165">
    <cfRule type="colorScale" priority="204">
      <colorScale>
        <cfvo type="min"/>
        <cfvo type="max"/>
        <color rgb="FFFCFCFF"/>
        <color rgb="FF63BE7B"/>
      </colorScale>
    </cfRule>
  </conditionalFormatting>
  <conditionalFormatting sqref="W166:W169">
    <cfRule type="colorScale" priority="203">
      <colorScale>
        <cfvo type="min"/>
        <cfvo type="max"/>
        <color rgb="FFFCFCFF"/>
        <color rgb="FF63BE7B"/>
      </colorScale>
    </cfRule>
  </conditionalFormatting>
  <conditionalFormatting sqref="X166:X169">
    <cfRule type="colorScale" priority="202">
      <colorScale>
        <cfvo type="min"/>
        <cfvo type="max"/>
        <color rgb="FFFCFCFF"/>
        <color rgb="FF63BE7B"/>
      </colorScale>
    </cfRule>
  </conditionalFormatting>
  <conditionalFormatting sqref="Y166:Y169">
    <cfRule type="colorScale" priority="201">
      <colorScale>
        <cfvo type="min"/>
        <cfvo type="max"/>
        <color rgb="FFFCFCFF"/>
        <color rgb="FF63BE7B"/>
      </colorScale>
    </cfRule>
  </conditionalFormatting>
  <conditionalFormatting sqref="AA166:AA169">
    <cfRule type="colorScale" priority="200">
      <colorScale>
        <cfvo type="min"/>
        <cfvo type="max"/>
        <color rgb="FFFCFCFF"/>
        <color rgb="FF63BE7B"/>
      </colorScale>
    </cfRule>
  </conditionalFormatting>
  <conditionalFormatting sqref="AB166:AB169">
    <cfRule type="colorScale" priority="199">
      <colorScale>
        <cfvo type="min"/>
        <cfvo type="max"/>
        <color rgb="FFFCFCFF"/>
        <color rgb="FF63BE7B"/>
      </colorScale>
    </cfRule>
  </conditionalFormatting>
  <conditionalFormatting sqref="AC166:AC169">
    <cfRule type="colorScale" priority="198">
      <colorScale>
        <cfvo type="min"/>
        <cfvo type="max"/>
        <color rgb="FFFCFCFF"/>
        <color rgb="FF63BE7B"/>
      </colorScale>
    </cfRule>
  </conditionalFormatting>
  <conditionalFormatting sqref="AA170:AA173">
    <cfRule type="colorScale" priority="197">
      <colorScale>
        <cfvo type="min"/>
        <cfvo type="max"/>
        <color rgb="FFFCFCFF"/>
        <color rgb="FF63BE7B"/>
      </colorScale>
    </cfRule>
  </conditionalFormatting>
  <conditionalFormatting sqref="AB174:AB177">
    <cfRule type="colorScale" priority="196">
      <colorScale>
        <cfvo type="min"/>
        <cfvo type="max"/>
        <color rgb="FFFCFCFF"/>
        <color rgb="FF63BE7B"/>
      </colorScale>
    </cfRule>
  </conditionalFormatting>
  <conditionalFormatting sqref="W178:W181">
    <cfRule type="colorScale" priority="195">
      <colorScale>
        <cfvo type="min"/>
        <cfvo type="max"/>
        <color rgb="FFFCFCFF"/>
        <color rgb="FF63BE7B"/>
      </colorScale>
    </cfRule>
  </conditionalFormatting>
  <conditionalFormatting sqref="X178:X181">
    <cfRule type="colorScale" priority="194">
      <colorScale>
        <cfvo type="min"/>
        <cfvo type="max"/>
        <color rgb="FFFCFCFF"/>
        <color rgb="FF63BE7B"/>
      </colorScale>
    </cfRule>
  </conditionalFormatting>
  <conditionalFormatting sqref="Y178:Y181">
    <cfRule type="colorScale" priority="193">
      <colorScale>
        <cfvo type="min"/>
        <cfvo type="max"/>
        <color rgb="FFFCFCFF"/>
        <color rgb="FF63BE7B"/>
      </colorScale>
    </cfRule>
  </conditionalFormatting>
  <conditionalFormatting sqref="AA178:AA181">
    <cfRule type="colorScale" priority="192">
      <colorScale>
        <cfvo type="min"/>
        <cfvo type="max"/>
        <color rgb="FFFCFCFF"/>
        <color rgb="FF63BE7B"/>
      </colorScale>
    </cfRule>
  </conditionalFormatting>
  <conditionalFormatting sqref="AC178:AC181">
    <cfRule type="colorScale" priority="191">
      <colorScale>
        <cfvo type="min"/>
        <cfvo type="max"/>
        <color rgb="FFFCFCFF"/>
        <color rgb="FF63BE7B"/>
      </colorScale>
    </cfRule>
  </conditionalFormatting>
  <conditionalFormatting sqref="W188:W191">
    <cfRule type="colorScale" priority="190">
      <colorScale>
        <cfvo type="min"/>
        <cfvo type="max"/>
        <color rgb="FFFCFCFF"/>
        <color rgb="FF63BE7B"/>
      </colorScale>
    </cfRule>
  </conditionalFormatting>
  <conditionalFormatting sqref="X188:X191">
    <cfRule type="colorScale" priority="189">
      <colorScale>
        <cfvo type="min"/>
        <cfvo type="max"/>
        <color rgb="FFFCFCFF"/>
        <color rgb="FF63BE7B"/>
      </colorScale>
    </cfRule>
  </conditionalFormatting>
  <conditionalFormatting sqref="Y188:Y191">
    <cfRule type="colorScale" priority="188">
      <colorScale>
        <cfvo type="min"/>
        <cfvo type="max"/>
        <color rgb="FFFCFCFF"/>
        <color rgb="FF63BE7B"/>
      </colorScale>
    </cfRule>
  </conditionalFormatting>
  <conditionalFormatting sqref="AA188:AA191">
    <cfRule type="colorScale" priority="187">
      <colorScale>
        <cfvo type="min"/>
        <cfvo type="max"/>
        <color rgb="FFFCFCFF"/>
        <color rgb="FF63BE7B"/>
      </colorScale>
    </cfRule>
  </conditionalFormatting>
  <conditionalFormatting sqref="AB188:AB191">
    <cfRule type="colorScale" priority="186">
      <colorScale>
        <cfvo type="min"/>
        <cfvo type="max"/>
        <color rgb="FFFCFCFF"/>
        <color rgb="FF63BE7B"/>
      </colorScale>
    </cfRule>
  </conditionalFormatting>
  <conditionalFormatting sqref="AC188:AC191">
    <cfRule type="colorScale" priority="185">
      <colorScale>
        <cfvo type="min"/>
        <cfvo type="max"/>
        <color rgb="FFFCFCFF"/>
        <color rgb="FF63BE7B"/>
      </colorScale>
    </cfRule>
  </conditionalFormatting>
  <conditionalFormatting sqref="W192:W195">
    <cfRule type="colorScale" priority="184">
      <colorScale>
        <cfvo type="min"/>
        <cfvo type="max"/>
        <color rgb="FFFCFCFF"/>
        <color rgb="FF63BE7B"/>
      </colorScale>
    </cfRule>
  </conditionalFormatting>
  <conditionalFormatting sqref="X192:X195">
    <cfRule type="colorScale" priority="183">
      <colorScale>
        <cfvo type="min"/>
        <cfvo type="max"/>
        <color rgb="FFFCFCFF"/>
        <color rgb="FF63BE7B"/>
      </colorScale>
    </cfRule>
  </conditionalFormatting>
  <conditionalFormatting sqref="Y192:Y195">
    <cfRule type="colorScale" priority="182">
      <colorScale>
        <cfvo type="min"/>
        <cfvo type="max"/>
        <color rgb="FFFCFCFF"/>
        <color rgb="FF63BE7B"/>
      </colorScale>
    </cfRule>
  </conditionalFormatting>
  <conditionalFormatting sqref="AA192:AA195">
    <cfRule type="colorScale" priority="181">
      <colorScale>
        <cfvo type="min"/>
        <cfvo type="max"/>
        <color rgb="FFFCFCFF"/>
        <color rgb="FF63BE7B"/>
      </colorScale>
    </cfRule>
  </conditionalFormatting>
  <conditionalFormatting sqref="AB192:AB195">
    <cfRule type="colorScale" priority="180">
      <colorScale>
        <cfvo type="min"/>
        <cfvo type="max"/>
        <color rgb="FFFCFCFF"/>
        <color rgb="FF63BE7B"/>
      </colorScale>
    </cfRule>
  </conditionalFormatting>
  <conditionalFormatting sqref="AC192:AC195">
    <cfRule type="colorScale" priority="179">
      <colorScale>
        <cfvo type="min"/>
        <cfvo type="max"/>
        <color rgb="FFFCFCFF"/>
        <color rgb="FF63BE7B"/>
      </colorScale>
    </cfRule>
  </conditionalFormatting>
  <conditionalFormatting sqref="X196:X199">
    <cfRule type="colorScale" priority="178">
      <colorScale>
        <cfvo type="min"/>
        <cfvo type="max"/>
        <color rgb="FFFCFCFF"/>
        <color rgb="FF63BE7B"/>
      </colorScale>
    </cfRule>
  </conditionalFormatting>
  <conditionalFormatting sqref="AA196:AA199">
    <cfRule type="colorScale" priority="177">
      <colorScale>
        <cfvo type="min"/>
        <cfvo type="max"/>
        <color rgb="FFFCFCFF"/>
        <color rgb="FF63BE7B"/>
      </colorScale>
    </cfRule>
  </conditionalFormatting>
  <conditionalFormatting sqref="AC196:AC199">
    <cfRule type="colorScale" priority="176">
      <colorScale>
        <cfvo type="min"/>
        <cfvo type="max"/>
        <color rgb="FFFCFCFF"/>
        <color rgb="FF63BE7B"/>
      </colorScale>
    </cfRule>
  </conditionalFormatting>
  <conditionalFormatting sqref="W200:W203">
    <cfRule type="colorScale" priority="175">
      <colorScale>
        <cfvo type="min"/>
        <cfvo type="max"/>
        <color rgb="FFFCFCFF"/>
        <color rgb="FF63BE7B"/>
      </colorScale>
    </cfRule>
  </conditionalFormatting>
  <conditionalFormatting sqref="AB200:AB203">
    <cfRule type="colorScale" priority="174">
      <colorScale>
        <cfvo type="min"/>
        <cfvo type="max"/>
        <color rgb="FFFCFCFF"/>
        <color rgb="FF63BE7B"/>
      </colorScale>
    </cfRule>
  </conditionalFormatting>
  <conditionalFormatting sqref="AC200:AC203">
    <cfRule type="colorScale" priority="173">
      <colorScale>
        <cfvo type="min"/>
        <cfvo type="max"/>
        <color rgb="FFFCFCFF"/>
        <color rgb="FF63BE7B"/>
      </colorScale>
    </cfRule>
  </conditionalFormatting>
  <conditionalFormatting sqref="Y204:Y207">
    <cfRule type="colorScale" priority="172">
      <colorScale>
        <cfvo type="min"/>
        <cfvo type="max"/>
        <color rgb="FFFCFCFF"/>
        <color rgb="FF63BE7B"/>
      </colorScale>
    </cfRule>
  </conditionalFormatting>
  <conditionalFormatting sqref="AA204:AA207">
    <cfRule type="colorScale" priority="171">
      <colorScale>
        <cfvo type="min"/>
        <cfvo type="max"/>
        <color rgb="FFFCFCFF"/>
        <color rgb="FF63BE7B"/>
      </colorScale>
    </cfRule>
  </conditionalFormatting>
  <conditionalFormatting sqref="AB204:AB207">
    <cfRule type="colorScale" priority="170">
      <colorScale>
        <cfvo type="min"/>
        <cfvo type="max"/>
        <color rgb="FFFCFCFF"/>
        <color rgb="FF63BE7B"/>
      </colorScale>
    </cfRule>
  </conditionalFormatting>
  <conditionalFormatting sqref="Y213:Y216">
    <cfRule type="colorScale" priority="169">
      <colorScale>
        <cfvo type="min"/>
        <cfvo type="max"/>
        <color rgb="FFFCFCFF"/>
        <color rgb="FF63BE7B"/>
      </colorScale>
    </cfRule>
  </conditionalFormatting>
  <conditionalFormatting sqref="AA213:AA216">
    <cfRule type="colorScale" priority="168">
      <colorScale>
        <cfvo type="min"/>
        <cfvo type="max"/>
        <color rgb="FFFCFCFF"/>
        <color rgb="FF63BE7B"/>
      </colorScale>
    </cfRule>
  </conditionalFormatting>
  <conditionalFormatting sqref="X217:X220">
    <cfRule type="colorScale" priority="167">
      <colorScale>
        <cfvo type="min"/>
        <cfvo type="max"/>
        <color rgb="FFFCFCFF"/>
        <color rgb="FF63BE7B"/>
      </colorScale>
    </cfRule>
  </conditionalFormatting>
  <conditionalFormatting sqref="AA217:AA220">
    <cfRule type="colorScale" priority="166">
      <colorScale>
        <cfvo type="min"/>
        <cfvo type="max"/>
        <color rgb="FFFCFCFF"/>
        <color rgb="FF63BE7B"/>
      </colorScale>
    </cfRule>
  </conditionalFormatting>
  <conditionalFormatting sqref="X221:X224">
    <cfRule type="colorScale" priority="165">
      <colorScale>
        <cfvo type="min"/>
        <cfvo type="max"/>
        <color rgb="FFFCFCFF"/>
        <color rgb="FF63BE7B"/>
      </colorScale>
    </cfRule>
  </conditionalFormatting>
  <conditionalFormatting sqref="AC221:AC224">
    <cfRule type="colorScale" priority="164">
      <colorScale>
        <cfvo type="min"/>
        <cfvo type="max"/>
        <color rgb="FFFCFCFF"/>
        <color rgb="FF63BE7B"/>
      </colorScale>
    </cfRule>
  </conditionalFormatting>
  <conditionalFormatting sqref="AA227:AA230">
    <cfRule type="colorScale" priority="163">
      <colorScale>
        <cfvo type="min"/>
        <cfvo type="max"/>
        <color rgb="FFFCFCFF"/>
        <color rgb="FF63BE7B"/>
      </colorScale>
    </cfRule>
  </conditionalFormatting>
  <conditionalFormatting sqref="Y231:Y234">
    <cfRule type="colorScale" priority="162">
      <colorScale>
        <cfvo type="min"/>
        <cfvo type="max"/>
        <color rgb="FFFCFCFF"/>
        <color rgb="FF63BE7B"/>
      </colorScale>
    </cfRule>
  </conditionalFormatting>
  <conditionalFormatting sqref="AB231:AB234">
    <cfRule type="colorScale" priority="161">
      <colorScale>
        <cfvo type="min"/>
        <cfvo type="max"/>
        <color rgb="FFFCFCFF"/>
        <color rgb="FF63BE7B"/>
      </colorScale>
    </cfRule>
  </conditionalFormatting>
  <conditionalFormatting sqref="AC231:AC234">
    <cfRule type="colorScale" priority="160">
      <colorScale>
        <cfvo type="min"/>
        <cfvo type="max"/>
        <color rgb="FFFCFCFF"/>
        <color rgb="FF63BE7B"/>
      </colorScale>
    </cfRule>
  </conditionalFormatting>
  <conditionalFormatting sqref="W235:W238">
    <cfRule type="colorScale" priority="159">
      <colorScale>
        <cfvo type="min"/>
        <cfvo type="max"/>
        <color rgb="FFFCFCFF"/>
        <color rgb="FF63BE7B"/>
      </colorScale>
    </cfRule>
  </conditionalFormatting>
  <conditionalFormatting sqref="Y235:Y238">
    <cfRule type="colorScale" priority="158">
      <colorScale>
        <cfvo type="min"/>
        <cfvo type="max"/>
        <color rgb="FFFCFCFF"/>
        <color rgb="FF63BE7B"/>
      </colorScale>
    </cfRule>
  </conditionalFormatting>
  <conditionalFormatting sqref="W239:W242">
    <cfRule type="colorScale" priority="157">
      <colorScale>
        <cfvo type="min"/>
        <cfvo type="max"/>
        <color rgb="FFFCFCFF"/>
        <color rgb="FF63BE7B"/>
      </colorScale>
    </cfRule>
  </conditionalFormatting>
  <conditionalFormatting sqref="X239:X242">
    <cfRule type="colorScale" priority="156">
      <colorScale>
        <cfvo type="min"/>
        <cfvo type="max"/>
        <color rgb="FFFCFCFF"/>
        <color rgb="FF63BE7B"/>
      </colorScale>
    </cfRule>
  </conditionalFormatting>
  <conditionalFormatting sqref="Y239:Y242">
    <cfRule type="colorScale" priority="155">
      <colorScale>
        <cfvo type="min"/>
        <cfvo type="max"/>
        <color rgb="FFFCFCFF"/>
        <color rgb="FF63BE7B"/>
      </colorScale>
    </cfRule>
  </conditionalFormatting>
  <conditionalFormatting sqref="AC239:AC242">
    <cfRule type="colorScale" priority="154">
      <colorScale>
        <cfvo type="min"/>
        <cfvo type="max"/>
        <color rgb="FFFCFCFF"/>
        <color rgb="FF63BE7B"/>
      </colorScale>
    </cfRule>
  </conditionalFormatting>
  <conditionalFormatting sqref="Y243:Y246">
    <cfRule type="colorScale" priority="153">
      <colorScale>
        <cfvo type="min"/>
        <cfvo type="max"/>
        <color rgb="FFFCFCFF"/>
        <color rgb="FF63BE7B"/>
      </colorScale>
    </cfRule>
  </conditionalFormatting>
  <conditionalFormatting sqref="W247:W250">
    <cfRule type="colorScale" priority="152">
      <colorScale>
        <cfvo type="min"/>
        <cfvo type="max"/>
        <color rgb="FFFCFCFF"/>
        <color rgb="FF63BE7B"/>
      </colorScale>
    </cfRule>
  </conditionalFormatting>
  <conditionalFormatting sqref="X247:X250">
    <cfRule type="colorScale" priority="151">
      <colorScale>
        <cfvo type="min"/>
        <cfvo type="max"/>
        <color rgb="FFFCFCFF"/>
        <color rgb="FF63BE7B"/>
      </colorScale>
    </cfRule>
  </conditionalFormatting>
  <conditionalFormatting sqref="Y247:Y250">
    <cfRule type="colorScale" priority="150">
      <colorScale>
        <cfvo type="min"/>
        <cfvo type="max"/>
        <color rgb="FFFCFCFF"/>
        <color rgb="FF63BE7B"/>
      </colorScale>
    </cfRule>
  </conditionalFormatting>
  <conditionalFormatting sqref="AA247:AA250">
    <cfRule type="colorScale" priority="149">
      <colorScale>
        <cfvo type="min"/>
        <cfvo type="max"/>
        <color rgb="FFFCFCFF"/>
        <color rgb="FF63BE7B"/>
      </colorScale>
    </cfRule>
  </conditionalFormatting>
  <conditionalFormatting sqref="AB247:AB250">
    <cfRule type="colorScale" priority="148">
      <colorScale>
        <cfvo type="min"/>
        <cfvo type="max"/>
        <color rgb="FFFCFCFF"/>
        <color rgb="FF63BE7B"/>
      </colorScale>
    </cfRule>
  </conditionalFormatting>
  <conditionalFormatting sqref="AC247:AC250">
    <cfRule type="colorScale" priority="147">
      <colorScale>
        <cfvo type="min"/>
        <cfvo type="max"/>
        <color rgb="FFFCFCFF"/>
        <color rgb="FF63BE7B"/>
      </colorScale>
    </cfRule>
  </conditionalFormatting>
  <conditionalFormatting sqref="W255:W258">
    <cfRule type="colorScale" priority="146">
      <colorScale>
        <cfvo type="min"/>
        <cfvo type="max"/>
        <color rgb="FFFCFCFF"/>
        <color rgb="FF63BE7B"/>
      </colorScale>
    </cfRule>
  </conditionalFormatting>
  <conditionalFormatting sqref="X255:X258">
    <cfRule type="colorScale" priority="145">
      <colorScale>
        <cfvo type="min"/>
        <cfvo type="max"/>
        <color rgb="FFFCFCFF"/>
        <color rgb="FF63BE7B"/>
      </colorScale>
    </cfRule>
  </conditionalFormatting>
  <conditionalFormatting sqref="Y255:Y258">
    <cfRule type="colorScale" priority="144">
      <colorScale>
        <cfvo type="min"/>
        <cfvo type="max"/>
        <color rgb="FFFCFCFF"/>
        <color rgb="FF63BE7B"/>
      </colorScale>
    </cfRule>
  </conditionalFormatting>
  <conditionalFormatting sqref="AA255:AA258">
    <cfRule type="colorScale" priority="143">
      <colorScale>
        <cfvo type="min"/>
        <cfvo type="max"/>
        <color rgb="FFFCFCFF"/>
        <color rgb="FF63BE7B"/>
      </colorScale>
    </cfRule>
  </conditionalFormatting>
  <conditionalFormatting sqref="AB255:AB258">
    <cfRule type="colorScale" priority="142">
      <colorScale>
        <cfvo type="min"/>
        <cfvo type="max"/>
        <color rgb="FFFCFCFF"/>
        <color rgb="FF63BE7B"/>
      </colorScale>
    </cfRule>
  </conditionalFormatting>
  <conditionalFormatting sqref="AC255:AC258">
    <cfRule type="colorScale" priority="141">
      <colorScale>
        <cfvo type="min"/>
        <cfvo type="max"/>
        <color rgb="FFFCFCFF"/>
        <color rgb="FF63BE7B"/>
      </colorScale>
    </cfRule>
  </conditionalFormatting>
  <conditionalFormatting sqref="X259:X262">
    <cfRule type="colorScale" priority="140">
      <colorScale>
        <cfvo type="min"/>
        <cfvo type="max"/>
        <color rgb="FFFCFCFF"/>
        <color rgb="FF63BE7B"/>
      </colorScale>
    </cfRule>
  </conditionalFormatting>
  <conditionalFormatting sqref="AB259:AB262">
    <cfRule type="colorScale" priority="139">
      <colorScale>
        <cfvo type="min"/>
        <cfvo type="max"/>
        <color rgb="FFFCFCFF"/>
        <color rgb="FF63BE7B"/>
      </colorScale>
    </cfRule>
  </conditionalFormatting>
  <conditionalFormatting sqref="AA263:AA266">
    <cfRule type="colorScale" priority="138">
      <colorScale>
        <cfvo type="min"/>
        <cfvo type="max"/>
        <color rgb="FFFCFCFF"/>
        <color rgb="FF63BE7B"/>
      </colorScale>
    </cfRule>
  </conditionalFormatting>
  <conditionalFormatting sqref="AB263:AB266">
    <cfRule type="colorScale" priority="137">
      <colorScale>
        <cfvo type="min"/>
        <cfvo type="max"/>
        <color rgb="FFFCFCFF"/>
        <color rgb="FF63BE7B"/>
      </colorScale>
    </cfRule>
  </conditionalFormatting>
  <conditionalFormatting sqref="AC263:AC266">
    <cfRule type="colorScale" priority="136">
      <colorScale>
        <cfvo type="min"/>
        <cfvo type="max"/>
        <color rgb="FFFCFCFF"/>
        <color rgb="FF63BE7B"/>
      </colorScale>
    </cfRule>
  </conditionalFormatting>
  <conditionalFormatting sqref="AB267:AB270">
    <cfRule type="colorScale" priority="135">
      <colorScale>
        <cfvo type="min"/>
        <cfvo type="max"/>
        <color rgb="FFFCFCFF"/>
        <color rgb="FF63BE7B"/>
      </colorScale>
    </cfRule>
  </conditionalFormatting>
  <conditionalFormatting sqref="W276:W279">
    <cfRule type="colorScale" priority="134">
      <colorScale>
        <cfvo type="min"/>
        <cfvo type="max"/>
        <color rgb="FFFCFCFF"/>
        <color rgb="FF63BE7B"/>
      </colorScale>
    </cfRule>
  </conditionalFormatting>
  <conditionalFormatting sqref="X276:X279">
    <cfRule type="colorScale" priority="133">
      <colorScale>
        <cfvo type="min"/>
        <cfvo type="max"/>
        <color rgb="FFFCFCFF"/>
        <color rgb="FF63BE7B"/>
      </colorScale>
    </cfRule>
  </conditionalFormatting>
  <conditionalFormatting sqref="Y276:Y279">
    <cfRule type="colorScale" priority="132">
      <colorScale>
        <cfvo type="min"/>
        <cfvo type="max"/>
        <color rgb="FFFCFCFF"/>
        <color rgb="FF63BE7B"/>
      </colorScale>
    </cfRule>
  </conditionalFormatting>
  <conditionalFormatting sqref="AA276:AA279">
    <cfRule type="colorScale" priority="131">
      <colorScale>
        <cfvo type="min"/>
        <cfvo type="max"/>
        <color rgb="FFFCFCFF"/>
        <color rgb="FF63BE7B"/>
      </colorScale>
    </cfRule>
  </conditionalFormatting>
  <conditionalFormatting sqref="AB276:AB279">
    <cfRule type="colorScale" priority="130">
      <colorScale>
        <cfvo type="min"/>
        <cfvo type="max"/>
        <color rgb="FFFCFCFF"/>
        <color rgb="FF63BE7B"/>
      </colorScale>
    </cfRule>
  </conditionalFormatting>
  <conditionalFormatting sqref="AC276:AC279">
    <cfRule type="colorScale" priority="129">
      <colorScale>
        <cfvo type="min"/>
        <cfvo type="max"/>
        <color rgb="FFFCFCFF"/>
        <color rgb="FF63BE7B"/>
      </colorScale>
    </cfRule>
  </conditionalFormatting>
  <conditionalFormatting sqref="W284:W287">
    <cfRule type="colorScale" priority="128">
      <colorScale>
        <cfvo type="min"/>
        <cfvo type="max"/>
        <color rgb="FFFCFCFF"/>
        <color rgb="FF63BE7B"/>
      </colorScale>
    </cfRule>
  </conditionalFormatting>
  <conditionalFormatting sqref="X284:X287">
    <cfRule type="colorScale" priority="127">
      <colorScale>
        <cfvo type="min"/>
        <cfvo type="max"/>
        <color rgb="FFFCFCFF"/>
        <color rgb="FF63BE7B"/>
      </colorScale>
    </cfRule>
  </conditionalFormatting>
  <conditionalFormatting sqref="Y284:Y287">
    <cfRule type="colorScale" priority="126">
      <colorScale>
        <cfvo type="min"/>
        <cfvo type="max"/>
        <color rgb="FFFCFCFF"/>
        <color rgb="FF63BE7B"/>
      </colorScale>
    </cfRule>
  </conditionalFormatting>
  <conditionalFormatting sqref="AA284:AA287">
    <cfRule type="colorScale" priority="125">
      <colorScale>
        <cfvo type="min"/>
        <cfvo type="max"/>
        <color rgb="FFFCFCFF"/>
        <color rgb="FF63BE7B"/>
      </colorScale>
    </cfRule>
  </conditionalFormatting>
  <conditionalFormatting sqref="AB284:AB287">
    <cfRule type="colorScale" priority="124">
      <colorScale>
        <cfvo type="min"/>
        <cfvo type="max"/>
        <color rgb="FFFCFCFF"/>
        <color rgb="FF63BE7B"/>
      </colorScale>
    </cfRule>
  </conditionalFormatting>
  <conditionalFormatting sqref="AC284:AC287">
    <cfRule type="colorScale" priority="123">
      <colorScale>
        <cfvo type="min"/>
        <cfvo type="max"/>
        <color rgb="FFFCFCFF"/>
        <color rgb="FF63BE7B"/>
      </colorScale>
    </cfRule>
  </conditionalFormatting>
  <conditionalFormatting sqref="W288:W291">
    <cfRule type="colorScale" priority="122">
      <colorScale>
        <cfvo type="min"/>
        <cfvo type="max"/>
        <color rgb="FFFCFCFF"/>
        <color rgb="FF63BE7B"/>
      </colorScale>
    </cfRule>
  </conditionalFormatting>
  <conditionalFormatting sqref="X288:X291">
    <cfRule type="colorScale" priority="121">
      <colorScale>
        <cfvo type="min"/>
        <cfvo type="max"/>
        <color rgb="FFFCFCFF"/>
        <color rgb="FF63BE7B"/>
      </colorScale>
    </cfRule>
  </conditionalFormatting>
  <conditionalFormatting sqref="Y288:Y291">
    <cfRule type="colorScale" priority="120">
      <colorScale>
        <cfvo type="min"/>
        <cfvo type="max"/>
        <color rgb="FFFCFCFF"/>
        <color rgb="FF63BE7B"/>
      </colorScale>
    </cfRule>
  </conditionalFormatting>
  <conditionalFormatting sqref="AA288:AA291">
    <cfRule type="colorScale" priority="119">
      <colorScale>
        <cfvo type="min"/>
        <cfvo type="max"/>
        <color rgb="FFFCFCFF"/>
        <color rgb="FF63BE7B"/>
      </colorScale>
    </cfRule>
  </conditionalFormatting>
  <conditionalFormatting sqref="AB288:AB291">
    <cfRule type="colorScale" priority="118">
      <colorScale>
        <cfvo type="min"/>
        <cfvo type="max"/>
        <color rgb="FFFCFCFF"/>
        <color rgb="FF63BE7B"/>
      </colorScale>
    </cfRule>
  </conditionalFormatting>
  <conditionalFormatting sqref="AC288:AC291">
    <cfRule type="colorScale" priority="117">
      <colorScale>
        <cfvo type="min"/>
        <cfvo type="max"/>
        <color rgb="FFFCFCFF"/>
        <color rgb="FF63BE7B"/>
      </colorScale>
    </cfRule>
  </conditionalFormatting>
  <conditionalFormatting sqref="AA292:AA295">
    <cfRule type="colorScale" priority="116">
      <colorScale>
        <cfvo type="min"/>
        <cfvo type="max"/>
        <color rgb="FFFCFCFF"/>
        <color rgb="FF63BE7B"/>
      </colorScale>
    </cfRule>
  </conditionalFormatting>
  <conditionalFormatting sqref="AB292:AB295">
    <cfRule type="colorScale" priority="115">
      <colorScale>
        <cfvo type="min"/>
        <cfvo type="max"/>
        <color rgb="FFFCFCFF"/>
        <color rgb="FF63BE7B"/>
      </colorScale>
    </cfRule>
  </conditionalFormatting>
  <conditionalFormatting sqref="AC292:AC295">
    <cfRule type="colorScale" priority="114">
      <colorScale>
        <cfvo type="min"/>
        <cfvo type="max"/>
        <color rgb="FFFCFCFF"/>
        <color rgb="FF63BE7B"/>
      </colorScale>
    </cfRule>
  </conditionalFormatting>
  <conditionalFormatting sqref="W296:W299">
    <cfRule type="colorScale" priority="113">
      <colorScale>
        <cfvo type="min"/>
        <cfvo type="max"/>
        <color rgb="FFFCFCFF"/>
        <color rgb="FF63BE7B"/>
      </colorScale>
    </cfRule>
  </conditionalFormatting>
  <conditionalFormatting sqref="X296:X299">
    <cfRule type="colorScale" priority="112">
      <colorScale>
        <cfvo type="min"/>
        <cfvo type="max"/>
        <color rgb="FFFCFCFF"/>
        <color rgb="FF63BE7B"/>
      </colorScale>
    </cfRule>
  </conditionalFormatting>
  <conditionalFormatting sqref="W300:W303">
    <cfRule type="colorScale" priority="111">
      <colorScale>
        <cfvo type="min"/>
        <cfvo type="max"/>
        <color rgb="FFFCFCFF"/>
        <color rgb="FF63BE7B"/>
      </colorScale>
    </cfRule>
  </conditionalFormatting>
  <conditionalFormatting sqref="X300:X303">
    <cfRule type="colorScale" priority="110">
      <colorScale>
        <cfvo type="min"/>
        <cfvo type="max"/>
        <color rgb="FFFCFCFF"/>
        <color rgb="FF63BE7B"/>
      </colorScale>
    </cfRule>
  </conditionalFormatting>
  <conditionalFormatting sqref="Y300:Y303">
    <cfRule type="colorScale" priority="109">
      <colorScale>
        <cfvo type="min"/>
        <cfvo type="max"/>
        <color rgb="FFFCFCFF"/>
        <color rgb="FF63BE7B"/>
      </colorScale>
    </cfRule>
  </conditionalFormatting>
  <conditionalFormatting sqref="AA300:AA303">
    <cfRule type="colorScale" priority="108">
      <colorScale>
        <cfvo type="min"/>
        <cfvo type="max"/>
        <color rgb="FFFCFCFF"/>
        <color rgb="FF63BE7B"/>
      </colorScale>
    </cfRule>
  </conditionalFormatting>
  <conditionalFormatting sqref="AB300:AB303">
    <cfRule type="colorScale" priority="107">
      <colorScale>
        <cfvo type="min"/>
        <cfvo type="max"/>
        <color rgb="FFFCFCFF"/>
        <color rgb="FF63BE7B"/>
      </colorScale>
    </cfRule>
  </conditionalFormatting>
  <conditionalFormatting sqref="AC300:AC303">
    <cfRule type="colorScale" priority="106">
      <colorScale>
        <cfvo type="min"/>
        <cfvo type="max"/>
        <color rgb="FFFCFCFF"/>
        <color rgb="FF63BE7B"/>
      </colorScale>
    </cfRule>
  </conditionalFormatting>
  <conditionalFormatting sqref="W304:W307">
    <cfRule type="colorScale" priority="105">
      <colorScale>
        <cfvo type="min"/>
        <cfvo type="max"/>
        <color rgb="FFFCFCFF"/>
        <color rgb="FF63BE7B"/>
      </colorScale>
    </cfRule>
  </conditionalFormatting>
  <conditionalFormatting sqref="X304:X307">
    <cfRule type="colorScale" priority="104">
      <colorScale>
        <cfvo type="min"/>
        <cfvo type="max"/>
        <color rgb="FFFCFCFF"/>
        <color rgb="FF63BE7B"/>
      </colorScale>
    </cfRule>
  </conditionalFormatting>
  <conditionalFormatting sqref="Y304:Y307">
    <cfRule type="colorScale" priority="103">
      <colorScale>
        <cfvo type="min"/>
        <cfvo type="max"/>
        <color rgb="FFFCFCFF"/>
        <color rgb="FF63BE7B"/>
      </colorScale>
    </cfRule>
  </conditionalFormatting>
  <conditionalFormatting sqref="AA304:AA307">
    <cfRule type="colorScale" priority="102">
      <colorScale>
        <cfvo type="min"/>
        <cfvo type="max"/>
        <color rgb="FFFCFCFF"/>
        <color rgb="FF63BE7B"/>
      </colorScale>
    </cfRule>
  </conditionalFormatting>
  <conditionalFormatting sqref="AB304:AB307">
    <cfRule type="colorScale" priority="101">
      <colorScale>
        <cfvo type="min"/>
        <cfvo type="max"/>
        <color rgb="FFFCFCFF"/>
        <color rgb="FF63BE7B"/>
      </colorScale>
    </cfRule>
  </conditionalFormatting>
  <conditionalFormatting sqref="AC304:AC307">
    <cfRule type="colorScale" priority="100">
      <colorScale>
        <cfvo type="min"/>
        <cfvo type="max"/>
        <color rgb="FFFCFCFF"/>
        <color rgb="FF63BE7B"/>
      </colorScale>
    </cfRule>
  </conditionalFormatting>
  <conditionalFormatting sqref="AB308:AB311">
    <cfRule type="colorScale" priority="99">
      <colorScale>
        <cfvo type="min"/>
        <cfvo type="max"/>
        <color rgb="FFFCFCFF"/>
        <color rgb="FF63BE7B"/>
      </colorScale>
    </cfRule>
  </conditionalFormatting>
  <conditionalFormatting sqref="W312:W315">
    <cfRule type="colorScale" priority="98">
      <colorScale>
        <cfvo type="min"/>
        <cfvo type="max"/>
        <color rgb="FFFCFCFF"/>
        <color rgb="FF63BE7B"/>
      </colorScale>
    </cfRule>
  </conditionalFormatting>
  <conditionalFormatting sqref="X312:X315">
    <cfRule type="colorScale" priority="97">
      <colorScale>
        <cfvo type="min"/>
        <cfvo type="max"/>
        <color rgb="FFFCFCFF"/>
        <color rgb="FF63BE7B"/>
      </colorScale>
    </cfRule>
  </conditionalFormatting>
  <conditionalFormatting sqref="Y312:Y315">
    <cfRule type="colorScale" priority="96">
      <colorScale>
        <cfvo type="min"/>
        <cfvo type="max"/>
        <color rgb="FFFCFCFF"/>
        <color rgb="FF63BE7B"/>
      </colorScale>
    </cfRule>
  </conditionalFormatting>
  <conditionalFormatting sqref="AA312:AA315">
    <cfRule type="colorScale" priority="95">
      <colorScale>
        <cfvo type="min"/>
        <cfvo type="max"/>
        <color rgb="FFFCFCFF"/>
        <color rgb="FF63BE7B"/>
      </colorScale>
    </cfRule>
  </conditionalFormatting>
  <conditionalFormatting sqref="AB312:AB315">
    <cfRule type="colorScale" priority="94">
      <colorScale>
        <cfvo type="min"/>
        <cfvo type="max"/>
        <color rgb="FFFCFCFF"/>
        <color rgb="FF63BE7B"/>
      </colorScale>
    </cfRule>
  </conditionalFormatting>
  <conditionalFormatting sqref="AC312:AC315">
    <cfRule type="colorScale" priority="93">
      <colorScale>
        <cfvo type="min"/>
        <cfvo type="max"/>
        <color rgb="FFFCFCFF"/>
        <color rgb="FF63BE7B"/>
      </colorScale>
    </cfRule>
  </conditionalFormatting>
  <conditionalFormatting sqref="X316:X319">
    <cfRule type="colorScale" priority="92">
      <colorScale>
        <cfvo type="min"/>
        <cfvo type="max"/>
        <color rgb="FFFCFCFF"/>
        <color rgb="FF63BE7B"/>
      </colorScale>
    </cfRule>
  </conditionalFormatting>
  <conditionalFormatting sqref="AC316:AC319">
    <cfRule type="colorScale" priority="91">
      <colorScale>
        <cfvo type="min"/>
        <cfvo type="max"/>
        <color rgb="FFFCFCFF"/>
        <color rgb="FF63BE7B"/>
      </colorScale>
    </cfRule>
  </conditionalFormatting>
  <conditionalFormatting sqref="W320:W323">
    <cfRule type="colorScale" priority="90">
      <colorScale>
        <cfvo type="min"/>
        <cfvo type="max"/>
        <color rgb="FFFCFCFF"/>
        <color rgb="FF63BE7B"/>
      </colorScale>
    </cfRule>
  </conditionalFormatting>
  <conditionalFormatting sqref="X320:X323">
    <cfRule type="colorScale" priority="89">
      <colorScale>
        <cfvo type="min"/>
        <cfvo type="max"/>
        <color rgb="FFFCFCFF"/>
        <color rgb="FF63BE7B"/>
      </colorScale>
    </cfRule>
  </conditionalFormatting>
  <conditionalFormatting sqref="Y320:Y323">
    <cfRule type="colorScale" priority="88">
      <colorScale>
        <cfvo type="min"/>
        <cfvo type="max"/>
        <color rgb="FFFCFCFF"/>
        <color rgb="FF63BE7B"/>
      </colorScale>
    </cfRule>
  </conditionalFormatting>
  <conditionalFormatting sqref="AA320:AA323">
    <cfRule type="colorScale" priority="87">
      <colorScale>
        <cfvo type="min"/>
        <cfvo type="max"/>
        <color rgb="FFFCFCFF"/>
        <color rgb="FF63BE7B"/>
      </colorScale>
    </cfRule>
  </conditionalFormatting>
  <conditionalFormatting sqref="AB320:AB323">
    <cfRule type="colorScale" priority="86">
      <colorScale>
        <cfvo type="min"/>
        <cfvo type="max"/>
        <color rgb="FFFCFCFF"/>
        <color rgb="FF63BE7B"/>
      </colorScale>
    </cfRule>
  </conditionalFormatting>
  <conditionalFormatting sqref="AC320:AC323">
    <cfRule type="colorScale" priority="85">
      <colorScale>
        <cfvo type="min"/>
        <cfvo type="max"/>
        <color rgb="FFFCFCFF"/>
        <color rgb="FF63BE7B"/>
      </colorScale>
    </cfRule>
  </conditionalFormatting>
  <conditionalFormatting sqref="W327:W330">
    <cfRule type="colorScale" priority="84">
      <colorScale>
        <cfvo type="min"/>
        <cfvo type="max"/>
        <color rgb="FFFCFCFF"/>
        <color rgb="FF63BE7B"/>
      </colorScale>
    </cfRule>
  </conditionalFormatting>
  <conditionalFormatting sqref="Y327:Y330">
    <cfRule type="colorScale" priority="83">
      <colorScale>
        <cfvo type="min"/>
        <cfvo type="max"/>
        <color rgb="FFFCFCFF"/>
        <color rgb="FF63BE7B"/>
      </colorScale>
    </cfRule>
  </conditionalFormatting>
  <conditionalFormatting sqref="AA327:AA330">
    <cfRule type="colorScale" priority="82">
      <colorScale>
        <cfvo type="min"/>
        <cfvo type="max"/>
        <color rgb="FFFCFCFF"/>
        <color rgb="FF63BE7B"/>
      </colorScale>
    </cfRule>
  </conditionalFormatting>
  <conditionalFormatting sqref="AB327:AB330">
    <cfRule type="colorScale" priority="81">
      <colorScale>
        <cfvo type="min"/>
        <cfvo type="max"/>
        <color rgb="FFFCFCFF"/>
        <color rgb="FF63BE7B"/>
      </colorScale>
    </cfRule>
  </conditionalFormatting>
  <conditionalFormatting sqref="W331:W334">
    <cfRule type="colorScale" priority="80">
      <colorScale>
        <cfvo type="min"/>
        <cfvo type="max"/>
        <color rgb="FFFCFCFF"/>
        <color rgb="FF63BE7B"/>
      </colorScale>
    </cfRule>
  </conditionalFormatting>
  <conditionalFormatting sqref="AB331:AB334">
    <cfRule type="colorScale" priority="79">
      <colorScale>
        <cfvo type="min"/>
        <cfvo type="max"/>
        <color rgb="FFFCFCFF"/>
        <color rgb="FF63BE7B"/>
      </colorScale>
    </cfRule>
  </conditionalFormatting>
  <conditionalFormatting sqref="Y335:Y338">
    <cfRule type="colorScale" priority="78">
      <colorScale>
        <cfvo type="min"/>
        <cfvo type="max"/>
        <color rgb="FFFCFCFF"/>
        <color rgb="FF63BE7B"/>
      </colorScale>
    </cfRule>
  </conditionalFormatting>
  <conditionalFormatting sqref="AC335:AC338">
    <cfRule type="colorScale" priority="77">
      <colorScale>
        <cfvo type="min"/>
        <cfvo type="max"/>
        <color rgb="FFFCFCFF"/>
        <color rgb="FF63BE7B"/>
      </colorScale>
    </cfRule>
  </conditionalFormatting>
  <conditionalFormatting sqref="W342:W345">
    <cfRule type="colorScale" priority="76">
      <colorScale>
        <cfvo type="min"/>
        <cfvo type="max"/>
        <color rgb="FFFCFCFF"/>
        <color rgb="FF63BE7B"/>
      </colorScale>
    </cfRule>
  </conditionalFormatting>
  <conditionalFormatting sqref="AA342:AA345">
    <cfRule type="colorScale" priority="75">
      <colorScale>
        <cfvo type="min"/>
        <cfvo type="max"/>
        <color rgb="FFFCFCFF"/>
        <color rgb="FF63BE7B"/>
      </colorScale>
    </cfRule>
  </conditionalFormatting>
  <conditionalFormatting sqref="Y346:Y349">
    <cfRule type="colorScale" priority="74">
      <colorScale>
        <cfvo type="min"/>
        <cfvo type="max"/>
        <color rgb="FFFCFCFF"/>
        <color rgb="FF63BE7B"/>
      </colorScale>
    </cfRule>
  </conditionalFormatting>
  <conditionalFormatting sqref="Y350:Y353">
    <cfRule type="colorScale" priority="73">
      <colorScale>
        <cfvo type="min"/>
        <cfvo type="max"/>
        <color rgb="FFFCFCFF"/>
        <color rgb="FF63BE7B"/>
      </colorScale>
    </cfRule>
  </conditionalFormatting>
  <conditionalFormatting sqref="AA350:AA353">
    <cfRule type="colorScale" priority="72">
      <colorScale>
        <cfvo type="min"/>
        <cfvo type="max"/>
        <color rgb="FFFCFCFF"/>
        <color rgb="FF63BE7B"/>
      </colorScale>
    </cfRule>
  </conditionalFormatting>
  <conditionalFormatting sqref="AB354:AB357">
    <cfRule type="colorScale" priority="71">
      <colorScale>
        <cfvo type="min"/>
        <cfvo type="max"/>
        <color rgb="FFFCFCFF"/>
        <color rgb="FF63BE7B"/>
      </colorScale>
    </cfRule>
  </conditionalFormatting>
  <conditionalFormatting sqref="AC354:AC357">
    <cfRule type="colorScale" priority="70">
      <colorScale>
        <cfvo type="min"/>
        <cfvo type="max"/>
        <color rgb="FFFCFCFF"/>
        <color rgb="FF63BE7B"/>
      </colorScale>
    </cfRule>
  </conditionalFormatting>
  <conditionalFormatting sqref="Y358:Y361">
    <cfRule type="colorScale" priority="69">
      <colorScale>
        <cfvo type="min"/>
        <cfvo type="max"/>
        <color rgb="FFFCFCFF"/>
        <color rgb="FF63BE7B"/>
      </colorScale>
    </cfRule>
  </conditionalFormatting>
  <conditionalFormatting sqref="AB358:AB361">
    <cfRule type="colorScale" priority="68">
      <colorScale>
        <cfvo type="min"/>
        <cfvo type="max"/>
        <color rgb="FFFCFCFF"/>
        <color rgb="FF63BE7B"/>
      </colorScale>
    </cfRule>
  </conditionalFormatting>
  <conditionalFormatting sqref="AC358:AC361">
    <cfRule type="colorScale" priority="67">
      <colorScale>
        <cfvo type="min"/>
        <cfvo type="max"/>
        <color rgb="FFFCFCFF"/>
        <color rgb="FF63BE7B"/>
      </colorScale>
    </cfRule>
  </conditionalFormatting>
  <conditionalFormatting sqref="Y363:Y366">
    <cfRule type="colorScale" priority="66">
      <colorScale>
        <cfvo type="min"/>
        <cfvo type="max"/>
        <color rgb="FFFCFCFF"/>
        <color rgb="FF63BE7B"/>
      </colorScale>
    </cfRule>
  </conditionalFormatting>
  <conditionalFormatting sqref="AA363:AA366">
    <cfRule type="colorScale" priority="65">
      <colorScale>
        <cfvo type="min"/>
        <cfvo type="max"/>
        <color rgb="FFFCFCFF"/>
        <color rgb="FF63BE7B"/>
      </colorScale>
    </cfRule>
  </conditionalFormatting>
  <conditionalFormatting sqref="AC363:AC366">
    <cfRule type="colorScale" priority="64">
      <colorScale>
        <cfvo type="min"/>
        <cfvo type="max"/>
        <color rgb="FFFCFCFF"/>
        <color rgb="FF63BE7B"/>
      </colorScale>
    </cfRule>
  </conditionalFormatting>
  <conditionalFormatting sqref="W367:W370">
    <cfRule type="colorScale" priority="63">
      <colorScale>
        <cfvo type="min"/>
        <cfvo type="max"/>
        <color rgb="FFFCFCFF"/>
        <color rgb="FF63BE7B"/>
      </colorScale>
    </cfRule>
  </conditionalFormatting>
  <conditionalFormatting sqref="X367:X370">
    <cfRule type="colorScale" priority="62">
      <colorScale>
        <cfvo type="min"/>
        <cfvo type="max"/>
        <color rgb="FFFCFCFF"/>
        <color rgb="FF63BE7B"/>
      </colorScale>
    </cfRule>
  </conditionalFormatting>
  <conditionalFormatting sqref="Y367:Y370">
    <cfRule type="colorScale" priority="61">
      <colorScale>
        <cfvo type="min"/>
        <cfvo type="max"/>
        <color rgb="FFFCFCFF"/>
        <color rgb="FF63BE7B"/>
      </colorScale>
    </cfRule>
  </conditionalFormatting>
  <conditionalFormatting sqref="AB367:AB370">
    <cfRule type="colorScale" priority="60">
      <colorScale>
        <cfvo type="min"/>
        <cfvo type="max"/>
        <color rgb="FFFCFCFF"/>
        <color rgb="FF63BE7B"/>
      </colorScale>
    </cfRule>
  </conditionalFormatting>
  <conditionalFormatting sqref="AC367:AC370">
    <cfRule type="colorScale" priority="59">
      <colorScale>
        <cfvo type="min"/>
        <cfvo type="max"/>
        <color rgb="FFFCFCFF"/>
        <color rgb="FF63BE7B"/>
      </colorScale>
    </cfRule>
  </conditionalFormatting>
  <conditionalFormatting sqref="W371:W374">
    <cfRule type="colorScale" priority="58">
      <colorScale>
        <cfvo type="min"/>
        <cfvo type="max"/>
        <color rgb="FFFCFCFF"/>
        <color rgb="FF63BE7B"/>
      </colorScale>
    </cfRule>
  </conditionalFormatting>
  <conditionalFormatting sqref="X371:X374">
    <cfRule type="colorScale" priority="57">
      <colorScale>
        <cfvo type="min"/>
        <cfvo type="max"/>
        <color rgb="FFFCFCFF"/>
        <color rgb="FF63BE7B"/>
      </colorScale>
    </cfRule>
  </conditionalFormatting>
  <conditionalFormatting sqref="Y371:Y374">
    <cfRule type="colorScale" priority="56">
      <colorScale>
        <cfvo type="min"/>
        <cfvo type="max"/>
        <color rgb="FFFCFCFF"/>
        <color rgb="FF63BE7B"/>
      </colorScale>
    </cfRule>
  </conditionalFormatting>
  <conditionalFormatting sqref="AA371:AA374">
    <cfRule type="colorScale" priority="55">
      <colorScale>
        <cfvo type="min"/>
        <cfvo type="max"/>
        <color rgb="FFFCFCFF"/>
        <color rgb="FF63BE7B"/>
      </colorScale>
    </cfRule>
  </conditionalFormatting>
  <conditionalFormatting sqref="AB371:AB374">
    <cfRule type="colorScale" priority="54">
      <colorScale>
        <cfvo type="min"/>
        <cfvo type="max"/>
        <color rgb="FFFCFCFF"/>
        <color rgb="FF63BE7B"/>
      </colorScale>
    </cfRule>
  </conditionalFormatting>
  <conditionalFormatting sqref="AC371:AC374">
    <cfRule type="colorScale" priority="53">
      <colorScale>
        <cfvo type="min"/>
        <cfvo type="max"/>
        <color rgb="FFFCFCFF"/>
        <color rgb="FF63BE7B"/>
      </colorScale>
    </cfRule>
  </conditionalFormatting>
  <conditionalFormatting sqref="X377:X380">
    <cfRule type="colorScale" priority="52">
      <colorScale>
        <cfvo type="min"/>
        <cfvo type="max"/>
        <color rgb="FFFCFCFF"/>
        <color rgb="FF63BE7B"/>
      </colorScale>
    </cfRule>
  </conditionalFormatting>
  <conditionalFormatting sqref="Y377:Y380">
    <cfRule type="colorScale" priority="51">
      <colorScale>
        <cfvo type="min"/>
        <cfvo type="max"/>
        <color rgb="FFFCFCFF"/>
        <color rgb="FF63BE7B"/>
      </colorScale>
    </cfRule>
  </conditionalFormatting>
  <conditionalFormatting sqref="AB377:AB380">
    <cfRule type="colorScale" priority="50">
      <colorScale>
        <cfvo type="min"/>
        <cfvo type="max"/>
        <color rgb="FFFCFCFF"/>
        <color rgb="FF63BE7B"/>
      </colorScale>
    </cfRule>
  </conditionalFormatting>
  <conditionalFormatting sqref="AC377:AC380">
    <cfRule type="colorScale" priority="49">
      <colorScale>
        <cfvo type="min"/>
        <cfvo type="max"/>
        <color rgb="FFFCFCFF"/>
        <color rgb="FF63BE7B"/>
      </colorScale>
    </cfRule>
  </conditionalFormatting>
  <conditionalFormatting sqref="X381:X384">
    <cfRule type="colorScale" priority="48">
      <colorScale>
        <cfvo type="min"/>
        <cfvo type="max"/>
        <color rgb="FFFCFCFF"/>
        <color rgb="FF63BE7B"/>
      </colorScale>
    </cfRule>
  </conditionalFormatting>
  <conditionalFormatting sqref="AA381:AA384">
    <cfRule type="colorScale" priority="47">
      <colorScale>
        <cfvo type="min"/>
        <cfvo type="max"/>
        <color rgb="FFFCFCFF"/>
        <color rgb="FF63BE7B"/>
      </colorScale>
    </cfRule>
  </conditionalFormatting>
  <conditionalFormatting sqref="W388:W391">
    <cfRule type="colorScale" priority="46">
      <colorScale>
        <cfvo type="min"/>
        <cfvo type="max"/>
        <color rgb="FFFCFCFF"/>
        <color rgb="FF63BE7B"/>
      </colorScale>
    </cfRule>
  </conditionalFormatting>
  <conditionalFormatting sqref="X388:X391">
    <cfRule type="colorScale" priority="45">
      <colorScale>
        <cfvo type="min"/>
        <cfvo type="max"/>
        <color rgb="FFFCFCFF"/>
        <color rgb="FF63BE7B"/>
      </colorScale>
    </cfRule>
  </conditionalFormatting>
  <conditionalFormatting sqref="Y388:Y391">
    <cfRule type="colorScale" priority="44">
      <colorScale>
        <cfvo type="min"/>
        <cfvo type="max"/>
        <color rgb="FFFCFCFF"/>
        <color rgb="FF63BE7B"/>
      </colorScale>
    </cfRule>
  </conditionalFormatting>
  <conditionalFormatting sqref="AA388:AA391">
    <cfRule type="colorScale" priority="43">
      <colorScale>
        <cfvo type="min"/>
        <cfvo type="max"/>
        <color rgb="FFFCFCFF"/>
        <color rgb="FF63BE7B"/>
      </colorScale>
    </cfRule>
  </conditionalFormatting>
  <conditionalFormatting sqref="AB388:AB391">
    <cfRule type="colorScale" priority="42">
      <colorScale>
        <cfvo type="min"/>
        <cfvo type="max"/>
        <color rgb="FFFCFCFF"/>
        <color rgb="FF63BE7B"/>
      </colorScale>
    </cfRule>
  </conditionalFormatting>
  <conditionalFormatting sqref="AC388:AC391">
    <cfRule type="colorScale" priority="41">
      <colorScale>
        <cfvo type="min"/>
        <cfvo type="max"/>
        <color rgb="FFFCFCFF"/>
        <color rgb="FF63BE7B"/>
      </colorScale>
    </cfRule>
  </conditionalFormatting>
  <conditionalFormatting sqref="W392:W395">
    <cfRule type="colorScale" priority="40">
      <colorScale>
        <cfvo type="min"/>
        <cfvo type="max"/>
        <color rgb="FFFCFCFF"/>
        <color rgb="FF63BE7B"/>
      </colorScale>
    </cfRule>
  </conditionalFormatting>
  <conditionalFormatting sqref="X392:X395">
    <cfRule type="colorScale" priority="39">
      <colorScale>
        <cfvo type="min"/>
        <cfvo type="max"/>
        <color rgb="FFFCFCFF"/>
        <color rgb="FF63BE7B"/>
      </colorScale>
    </cfRule>
  </conditionalFormatting>
  <conditionalFormatting sqref="Y392:Y395">
    <cfRule type="colorScale" priority="38">
      <colorScale>
        <cfvo type="min"/>
        <cfvo type="max"/>
        <color rgb="FFFCFCFF"/>
        <color rgb="FF63BE7B"/>
      </colorScale>
    </cfRule>
  </conditionalFormatting>
  <conditionalFormatting sqref="AB392:AB395">
    <cfRule type="colorScale" priority="37">
      <colorScale>
        <cfvo type="min"/>
        <cfvo type="max"/>
        <color rgb="FFFCFCFF"/>
        <color rgb="FF63BE7B"/>
      </colorScale>
    </cfRule>
  </conditionalFormatting>
  <conditionalFormatting sqref="AC392:AC395">
    <cfRule type="colorScale" priority="36">
      <colorScale>
        <cfvo type="min"/>
        <cfvo type="max"/>
        <color rgb="FFFCFCFF"/>
        <color rgb="FF63BE7B"/>
      </colorScale>
    </cfRule>
  </conditionalFormatting>
  <conditionalFormatting sqref="W396:W399">
    <cfRule type="colorScale" priority="35">
      <colorScale>
        <cfvo type="min"/>
        <cfvo type="max"/>
        <color rgb="FFFCFCFF"/>
        <color rgb="FF63BE7B"/>
      </colorScale>
    </cfRule>
  </conditionalFormatting>
  <conditionalFormatting sqref="Y396:Y399">
    <cfRule type="colorScale" priority="34">
      <colorScale>
        <cfvo type="min"/>
        <cfvo type="max"/>
        <color rgb="FFFCFCFF"/>
        <color rgb="FF63BE7B"/>
      </colorScale>
    </cfRule>
  </conditionalFormatting>
  <conditionalFormatting sqref="AB25:AB28">
    <cfRule type="colorScale" priority="30">
      <colorScale>
        <cfvo type="min"/>
        <cfvo type="max"/>
        <color rgb="FFFCFCFF"/>
        <color rgb="FF63BE7B"/>
      </colorScale>
    </cfRule>
  </conditionalFormatting>
  <conditionalFormatting sqref="F280:F283">
    <cfRule type="colorScale" priority="29">
      <colorScale>
        <cfvo type="min"/>
        <cfvo type="max"/>
        <color rgb="FFFCFCFF"/>
        <color rgb="FFF8696B"/>
      </colorScale>
    </cfRule>
  </conditionalFormatting>
  <conditionalFormatting sqref="W280:W283">
    <cfRule type="colorScale" priority="28">
      <colorScale>
        <cfvo type="min"/>
        <cfvo type="max"/>
        <color rgb="FFFCFCFF"/>
        <color rgb="FF63BE7B"/>
      </colorScale>
    </cfRule>
  </conditionalFormatting>
  <conditionalFormatting sqref="X280:X283">
    <cfRule type="colorScale" priority="27">
      <colorScale>
        <cfvo type="min"/>
        <cfvo type="max"/>
        <color rgb="FFFCFCFF"/>
        <color rgb="FF63BE7B"/>
      </colorScale>
    </cfRule>
  </conditionalFormatting>
  <conditionalFormatting sqref="Y280:Y283">
    <cfRule type="colorScale" priority="26">
      <colorScale>
        <cfvo type="min"/>
        <cfvo type="max"/>
        <color rgb="FFFCFCFF"/>
        <color rgb="FF63BE7B"/>
      </colorScale>
    </cfRule>
  </conditionalFormatting>
  <conditionalFormatting sqref="AA280:AA283">
    <cfRule type="colorScale" priority="25">
      <colorScale>
        <cfvo type="min"/>
        <cfvo type="max"/>
        <color rgb="FFFCFCFF"/>
        <color rgb="FF63BE7B"/>
      </colorScale>
    </cfRule>
  </conditionalFormatting>
  <conditionalFormatting sqref="AB280:AB283">
    <cfRule type="colorScale" priority="24">
      <colorScale>
        <cfvo type="min"/>
        <cfvo type="max"/>
        <color rgb="FFFCFCFF"/>
        <color rgb="FF63BE7B"/>
      </colorScale>
    </cfRule>
  </conditionalFormatting>
  <conditionalFormatting sqref="AC280:AC283">
    <cfRule type="colorScale" priority="23">
      <colorScale>
        <cfvo type="min"/>
        <cfvo type="max"/>
        <color rgb="FFFCFCFF"/>
        <color rgb="FF63BE7B"/>
      </colorScale>
    </cfRule>
  </conditionalFormatting>
  <conditionalFormatting sqref="F276:F279">
    <cfRule type="colorScale" priority="22">
      <colorScale>
        <cfvo type="min"/>
        <cfvo type="max"/>
        <color rgb="FFFCFCFF"/>
        <color rgb="FFF8696B"/>
      </colorScale>
    </cfRule>
  </conditionalFormatting>
  <conditionalFormatting sqref="G276:G279">
    <cfRule type="colorScale" priority="21">
      <colorScale>
        <cfvo type="min"/>
        <cfvo type="max"/>
        <color rgb="FFFCFCFF"/>
        <color rgb="FFF8696B"/>
      </colorScale>
    </cfRule>
  </conditionalFormatting>
  <conditionalFormatting sqref="H276:H279">
    <cfRule type="colorScale" priority="20">
      <colorScale>
        <cfvo type="min"/>
        <cfvo type="max"/>
        <color rgb="FFFCFCFF"/>
        <color rgb="FFF8696B"/>
      </colorScale>
    </cfRule>
  </conditionalFormatting>
  <conditionalFormatting sqref="F276:F279">
    <cfRule type="colorScale" priority="19">
      <colorScale>
        <cfvo type="min"/>
        <cfvo type="max"/>
        <color rgb="FFFCFCFF"/>
        <color rgb="FFF8696B"/>
      </colorScale>
    </cfRule>
  </conditionalFormatting>
  <conditionalFormatting sqref="N276:N279">
    <cfRule type="colorScale" priority="18">
      <colorScale>
        <cfvo type="min"/>
        <cfvo type="max"/>
        <color rgb="FFFCFCFF"/>
        <color rgb="FFF8696B"/>
      </colorScale>
    </cfRule>
  </conditionalFormatting>
  <conditionalFormatting sqref="O276:O279">
    <cfRule type="colorScale" priority="17">
      <colorScale>
        <cfvo type="min"/>
        <cfvo type="max"/>
        <color rgb="FFFCFCFF"/>
        <color rgb="FFF8696B"/>
      </colorScale>
    </cfRule>
  </conditionalFormatting>
  <conditionalFormatting sqref="P276:P279">
    <cfRule type="colorScale" priority="16">
      <colorScale>
        <cfvo type="min"/>
        <cfvo type="max"/>
        <color rgb="FFFCFCFF"/>
        <color rgb="FFF8696B"/>
      </colorScale>
    </cfRule>
  </conditionalFormatting>
  <conditionalFormatting sqref="J276:J279">
    <cfRule type="colorScale" priority="15">
      <colorScale>
        <cfvo type="min"/>
        <cfvo type="max"/>
        <color rgb="FFFCFCFF"/>
        <color rgb="FFF8696B"/>
      </colorScale>
    </cfRule>
  </conditionalFormatting>
  <conditionalFormatting sqref="K276:K279">
    <cfRule type="colorScale" priority="14">
      <colorScale>
        <cfvo type="min"/>
        <cfvo type="max"/>
        <color rgb="FFFCFCFF"/>
        <color rgb="FFF8696B"/>
      </colorScale>
    </cfRule>
  </conditionalFormatting>
  <conditionalFormatting sqref="L276:L279">
    <cfRule type="colorScale" priority="13">
      <colorScale>
        <cfvo type="min"/>
        <cfvo type="max"/>
        <color rgb="FFFCFCFF"/>
        <color rgb="FFF8696B"/>
      </colorScale>
    </cfRule>
  </conditionalFormatting>
  <conditionalFormatting sqref="R276:R279">
    <cfRule type="colorScale" priority="12">
      <colorScale>
        <cfvo type="min"/>
        <cfvo type="max"/>
        <color rgb="FFFCFCFF"/>
        <color rgb="FFF8696B"/>
      </colorScale>
    </cfRule>
  </conditionalFormatting>
  <conditionalFormatting sqref="S276:S279">
    <cfRule type="colorScale" priority="11">
      <colorScale>
        <cfvo type="min"/>
        <cfvo type="max"/>
        <color rgb="FFFCFCFF"/>
        <color rgb="FFF8696B"/>
      </colorScale>
    </cfRule>
  </conditionalFormatting>
  <conditionalFormatting sqref="T276:T279">
    <cfRule type="colorScale" priority="10">
      <colorScale>
        <cfvo type="min"/>
        <cfvo type="max"/>
        <color rgb="FFFCFCFF"/>
        <color rgb="FFF8696B"/>
      </colorScale>
    </cfRule>
  </conditionalFormatting>
  <conditionalFormatting sqref="R288:R291">
    <cfRule type="colorScale" priority="9">
      <colorScale>
        <cfvo type="min"/>
        <cfvo type="max"/>
        <color rgb="FFFCFCFF"/>
        <color rgb="FFF8696B"/>
      </colorScale>
    </cfRule>
  </conditionalFormatting>
  <conditionalFormatting sqref="S288:S291">
    <cfRule type="colorScale" priority="8">
      <colorScale>
        <cfvo type="min"/>
        <cfvo type="max"/>
        <color rgb="FFFCFCFF"/>
        <color rgb="FFF8696B"/>
      </colorScale>
    </cfRule>
  </conditionalFormatting>
  <conditionalFormatting sqref="T288:T291">
    <cfRule type="colorScale" priority="7">
      <colorScale>
        <cfvo type="min"/>
        <cfvo type="max"/>
        <color rgb="FFFCFCFF"/>
        <color rgb="FFF8696B"/>
      </colorScale>
    </cfRule>
  </conditionalFormatting>
  <conditionalFormatting sqref="J280:J283">
    <cfRule type="colorScale" priority="6">
      <colorScale>
        <cfvo type="min"/>
        <cfvo type="max"/>
        <color rgb="FFFCFCFF"/>
        <color rgb="FFF8696B"/>
      </colorScale>
    </cfRule>
  </conditionalFormatting>
  <conditionalFormatting sqref="K280:K283">
    <cfRule type="colorScale" priority="5">
      <colorScale>
        <cfvo type="min"/>
        <cfvo type="max"/>
        <color rgb="FFFCFCFF"/>
        <color rgb="FFF8696B"/>
      </colorScale>
    </cfRule>
  </conditionalFormatting>
  <conditionalFormatting sqref="L280:L283">
    <cfRule type="colorScale" priority="4">
      <colorScale>
        <cfvo type="min"/>
        <cfvo type="max"/>
        <color rgb="FFFCFCFF"/>
        <color rgb="FFF8696B"/>
      </colorScale>
    </cfRule>
  </conditionalFormatting>
  <conditionalFormatting sqref="R280:R283">
    <cfRule type="colorScale" priority="3">
      <colorScale>
        <cfvo type="min"/>
        <cfvo type="max"/>
        <color rgb="FFFCFCFF"/>
        <color rgb="FFF8696B"/>
      </colorScale>
    </cfRule>
  </conditionalFormatting>
  <conditionalFormatting sqref="S280:S283">
    <cfRule type="colorScale" priority="2">
      <colorScale>
        <cfvo type="min"/>
        <cfvo type="max"/>
        <color rgb="FFFCFCFF"/>
        <color rgb="FFF8696B"/>
      </colorScale>
    </cfRule>
  </conditionalFormatting>
  <conditionalFormatting sqref="T280:T283">
    <cfRule type="colorScale" priority="1">
      <colorScale>
        <cfvo type="min"/>
        <cfvo type="max"/>
        <color rgb="FFFCFCFF"/>
        <color rgb="FFF8696B"/>
      </colorScale>
    </cfRule>
  </conditionalFormatting>
  <pageMargins left="0.75" right="0.75" top="1" bottom="1" header="0.5" footer="0.5"/>
  <pageSetup scale="29"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C20" sqref="C20"/>
    </sheetView>
  </sheetViews>
  <sheetFormatPr defaultColWidth="11" defaultRowHeight="15.75"/>
  <sheetData>
    <row r="1" spans="1:2">
      <c r="A1" s="424" t="s">
        <v>122</v>
      </c>
    </row>
    <row r="2" spans="1:2">
      <c r="A2" t="s">
        <v>132</v>
      </c>
      <c r="B2" t="s">
        <v>133</v>
      </c>
    </row>
    <row r="3" spans="1:2">
      <c r="A3" t="s">
        <v>123</v>
      </c>
      <c r="B3" t="s">
        <v>124</v>
      </c>
    </row>
    <row r="4" spans="1:2">
      <c r="A4" t="s">
        <v>125</v>
      </c>
      <c r="B4" t="s">
        <v>126</v>
      </c>
    </row>
    <row r="5" spans="1:2" s="11" customFormat="1">
      <c r="A5" s="423" t="s">
        <v>24</v>
      </c>
      <c r="B5" s="4" t="s">
        <v>23</v>
      </c>
    </row>
    <row r="6" spans="1:2" s="11" customFormat="1">
      <c r="A6" s="4" t="s">
        <v>37</v>
      </c>
      <c r="B6" s="4" t="s">
        <v>127</v>
      </c>
    </row>
    <row r="7" spans="1:2" s="11" customFormat="1">
      <c r="A7" s="4" t="s">
        <v>32</v>
      </c>
      <c r="B7" s="4" t="s">
        <v>128</v>
      </c>
    </row>
    <row r="8" spans="1:2" s="11" customFormat="1">
      <c r="A8" s="423" t="s">
        <v>24</v>
      </c>
      <c r="B8" s="4" t="s">
        <v>23</v>
      </c>
    </row>
    <row r="9" spans="1:2" s="11" customFormat="1">
      <c r="A9" s="423" t="s">
        <v>24</v>
      </c>
      <c r="B9" s="4" t="s">
        <v>23</v>
      </c>
    </row>
    <row r="10" spans="1:2">
      <c r="A10" s="423" t="s">
        <v>26</v>
      </c>
      <c r="B10" s="4" t="s">
        <v>129</v>
      </c>
    </row>
    <row r="11" spans="1:2">
      <c r="A11" s="423" t="s">
        <v>130</v>
      </c>
      <c r="B11" s="4" t="s">
        <v>131</v>
      </c>
    </row>
    <row r="12" spans="1:2">
      <c r="A12" s="423" t="s">
        <v>138</v>
      </c>
      <c r="B12" s="4" t="s">
        <v>2</v>
      </c>
    </row>
    <row r="13" spans="1:2">
      <c r="A13" s="423" t="s">
        <v>134</v>
      </c>
      <c r="B13" s="4" t="s">
        <v>135</v>
      </c>
    </row>
    <row r="14" spans="1:2">
      <c r="A14" s="423" t="s">
        <v>136</v>
      </c>
      <c r="B14" s="4" t="s">
        <v>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Table_S6_Cytosolic AAtRS</vt:lpstr>
      <vt:lpstr>Abbreviations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Vogel_lab</cp:lastModifiedBy>
  <dcterms:created xsi:type="dcterms:W3CDTF">2018-04-09T18:45:41Z</dcterms:created>
  <dcterms:modified xsi:type="dcterms:W3CDTF">2018-04-17T12:46:10Z</dcterms:modified>
</cp:coreProperties>
</file>